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OneDrive\ドキュメント\SKRIPSI NANDA\"/>
    </mc:Choice>
  </mc:AlternateContent>
  <xr:revisionPtr revIDLastSave="0" documentId="13_ncr:1_{485A5CA1-2D5D-4287-80A5-73F1D62C2B7B}" xr6:coauthVersionLast="47" xr6:coauthVersionMax="47" xr10:uidLastSave="{00000000-0000-0000-0000-000000000000}"/>
  <bookViews>
    <workbookView xWindow="-120" yWindow="-120" windowWidth="20730" windowHeight="11040" firstSheet="1" activeTab="1" xr2:uid="{368E8E2B-CBE6-431B-BD7E-4787C5E4B3C2}"/>
  </bookViews>
  <sheets>
    <sheet name="TABULASI " sheetId="3" r:id="rId1"/>
    <sheet name="OLAH DATA SPSS" sheetId="9" r:id="rId2"/>
    <sheet name="green accounting (X1)" sheetId="8" r:id="rId3"/>
    <sheet name="GCG (X2)" sheetId="5" r:id="rId4"/>
    <sheet name="Manaj Laba (X3)" sheetId="7" r:id="rId5"/>
    <sheet name="kinerja keuangan (Y)" sheetId="4" r:id="rId6"/>
    <sheet name="CSR (Z)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9" l="1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3" i="9"/>
  <c r="H134" i="9"/>
  <c r="H135" i="9"/>
  <c r="H136" i="9"/>
  <c r="H137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57" i="9"/>
  <c r="H158" i="9"/>
  <c r="H159" i="9"/>
  <c r="H160" i="9"/>
  <c r="H161" i="9"/>
  <c r="H162" i="9"/>
  <c r="H163" i="9"/>
  <c r="H164" i="9"/>
  <c r="H165" i="9"/>
  <c r="H166" i="9"/>
  <c r="H167" i="9"/>
  <c r="H168" i="9"/>
  <c r="H169" i="9"/>
  <c r="H170" i="9"/>
  <c r="H171" i="9"/>
  <c r="H172" i="9"/>
  <c r="H173" i="9"/>
  <c r="H174" i="9"/>
  <c r="H175" i="9"/>
  <c r="H176" i="9"/>
  <c r="H177" i="9"/>
  <c r="H178" i="9"/>
  <c r="H179" i="9"/>
  <c r="H180" i="9"/>
  <c r="H181" i="9"/>
  <c r="H182" i="9"/>
  <c r="H183" i="9"/>
  <c r="H184" i="9"/>
  <c r="G3" i="9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151" i="9"/>
  <c r="G152" i="9"/>
  <c r="G153" i="9"/>
  <c r="G154" i="9"/>
  <c r="G155" i="9"/>
  <c r="G156" i="9"/>
  <c r="G157" i="9"/>
  <c r="G158" i="9"/>
  <c r="G159" i="9"/>
  <c r="G160" i="9"/>
  <c r="G161" i="9"/>
  <c r="G162" i="9"/>
  <c r="G163" i="9"/>
  <c r="G164" i="9"/>
  <c r="G165" i="9"/>
  <c r="G166" i="9"/>
  <c r="G167" i="9"/>
  <c r="G168" i="9"/>
  <c r="G169" i="9"/>
  <c r="G170" i="9"/>
  <c r="G171" i="9"/>
  <c r="G172" i="9"/>
  <c r="G173" i="9"/>
  <c r="G174" i="9"/>
  <c r="G175" i="9"/>
  <c r="G176" i="9"/>
  <c r="G177" i="9"/>
  <c r="G178" i="9"/>
  <c r="G179" i="9"/>
  <c r="G180" i="9"/>
  <c r="G181" i="9"/>
  <c r="G182" i="9"/>
  <c r="G183" i="9"/>
  <c r="G184" i="9"/>
  <c r="F3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68" i="9"/>
  <c r="F169" i="9"/>
  <c r="F170" i="9"/>
  <c r="F171" i="9"/>
  <c r="F172" i="9"/>
  <c r="F173" i="9"/>
  <c r="F174" i="9"/>
  <c r="F175" i="9"/>
  <c r="F176" i="9"/>
  <c r="F177" i="9"/>
  <c r="F178" i="9"/>
  <c r="F179" i="9"/>
  <c r="F180" i="9"/>
  <c r="F181" i="9"/>
  <c r="F182" i="9"/>
  <c r="F183" i="9"/>
  <c r="F184" i="9"/>
  <c r="H2" i="9"/>
  <c r="G2" i="9"/>
  <c r="F2" i="9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2" i="4"/>
  <c r="C147" i="8" l="1"/>
  <c r="J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C165" i="8"/>
  <c r="C56" i="8"/>
  <c r="C57" i="8"/>
  <c r="C58" i="8"/>
  <c r="E2" i="8"/>
  <c r="E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4" i="8"/>
  <c r="E95" i="8"/>
  <c r="E96" i="8"/>
  <c r="E97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119" i="8"/>
  <c r="E120" i="8"/>
  <c r="E121" i="8"/>
  <c r="E122" i="8"/>
  <c r="E123" i="8"/>
  <c r="E124" i="8"/>
  <c r="E125" i="8"/>
  <c r="E126" i="8"/>
  <c r="E127" i="8"/>
  <c r="E128" i="8"/>
  <c r="E129" i="8"/>
  <c r="E130" i="8"/>
  <c r="E131" i="8"/>
  <c r="E132" i="8"/>
  <c r="E133" i="8"/>
  <c r="E134" i="8"/>
  <c r="E135" i="8"/>
  <c r="E136" i="8"/>
  <c r="E137" i="8"/>
  <c r="E138" i="8"/>
  <c r="E139" i="8"/>
  <c r="E140" i="8"/>
  <c r="E141" i="8"/>
  <c r="E142" i="8"/>
  <c r="E143" i="8"/>
  <c r="E144" i="8"/>
  <c r="E145" i="8"/>
  <c r="E146" i="8"/>
  <c r="E147" i="8"/>
  <c r="E148" i="8"/>
  <c r="E149" i="8"/>
  <c r="E150" i="8"/>
  <c r="E151" i="8"/>
  <c r="E152" i="8"/>
  <c r="E153" i="8"/>
  <c r="E154" i="8"/>
  <c r="E155" i="8"/>
  <c r="E156" i="8"/>
  <c r="E157" i="8"/>
  <c r="E158" i="8"/>
  <c r="E159" i="8"/>
  <c r="E160" i="8"/>
  <c r="E161" i="8"/>
  <c r="E162" i="8"/>
  <c r="E163" i="8"/>
  <c r="E164" i="8"/>
  <c r="E165" i="8"/>
  <c r="E166" i="8"/>
  <c r="E167" i="8"/>
  <c r="E168" i="8"/>
  <c r="E169" i="8"/>
  <c r="E170" i="8"/>
  <c r="E171" i="8"/>
  <c r="E172" i="8"/>
  <c r="E173" i="8"/>
  <c r="E174" i="8"/>
  <c r="E175" i="8"/>
  <c r="E176" i="8"/>
  <c r="E177" i="8"/>
  <c r="E178" i="8"/>
  <c r="E179" i="8"/>
  <c r="E180" i="8"/>
  <c r="E181" i="8"/>
  <c r="E182" i="8"/>
  <c r="E183" i="8"/>
  <c r="E184" i="8"/>
  <c r="T108" i="7"/>
  <c r="T122" i="7"/>
  <c r="T123" i="7"/>
  <c r="T124" i="7"/>
  <c r="T134" i="7"/>
  <c r="T135" i="7"/>
  <c r="T136" i="7"/>
  <c r="T182" i="7"/>
  <c r="T183" i="7"/>
  <c r="T184" i="7"/>
  <c r="S181" i="7"/>
  <c r="S180" i="7"/>
  <c r="S179" i="7"/>
  <c r="S178" i="7"/>
  <c r="S177" i="7"/>
  <c r="S176" i="7"/>
  <c r="S175" i="7"/>
  <c r="S174" i="7"/>
  <c r="S173" i="7"/>
  <c r="S172" i="7"/>
  <c r="S171" i="7"/>
  <c r="S170" i="7"/>
  <c r="S169" i="7"/>
  <c r="S168" i="7"/>
  <c r="S167" i="7"/>
  <c r="S166" i="7"/>
  <c r="S165" i="7"/>
  <c r="S164" i="7"/>
  <c r="S163" i="7"/>
  <c r="S162" i="7"/>
  <c r="S161" i="7"/>
  <c r="S160" i="7"/>
  <c r="S159" i="7"/>
  <c r="S158" i="7"/>
  <c r="S157" i="7"/>
  <c r="S156" i="7"/>
  <c r="S155" i="7"/>
  <c r="S154" i="7"/>
  <c r="S153" i="7"/>
  <c r="S152" i="7"/>
  <c r="S150" i="7"/>
  <c r="T150" i="7" s="1"/>
  <c r="S148" i="7"/>
  <c r="S147" i="7"/>
  <c r="S146" i="7"/>
  <c r="S145" i="7"/>
  <c r="S144" i="7"/>
  <c r="S143" i="7"/>
  <c r="S142" i="7"/>
  <c r="S141" i="7"/>
  <c r="S140" i="7"/>
  <c r="S139" i="7"/>
  <c r="S138" i="7"/>
  <c r="S137" i="7"/>
  <c r="S133" i="7"/>
  <c r="S132" i="7"/>
  <c r="S131" i="7"/>
  <c r="S130" i="7"/>
  <c r="S129" i="7"/>
  <c r="S128" i="7"/>
  <c r="S127" i="7"/>
  <c r="S126" i="7"/>
  <c r="S125" i="7"/>
  <c r="S121" i="7"/>
  <c r="S120" i="7"/>
  <c r="S119" i="7"/>
  <c r="S118" i="7"/>
  <c r="S117" i="7"/>
  <c r="S116" i="7"/>
  <c r="S115" i="7"/>
  <c r="S114" i="7"/>
  <c r="S113" i="7"/>
  <c r="S112" i="7"/>
  <c r="S111" i="7"/>
  <c r="S110" i="7"/>
  <c r="S107" i="7"/>
  <c r="T107" i="7" s="1"/>
  <c r="S106" i="7"/>
  <c r="S105" i="7"/>
  <c r="S104" i="7"/>
  <c r="S103" i="7"/>
  <c r="S102" i="7"/>
  <c r="S101" i="7"/>
  <c r="S100" i="7"/>
  <c r="S99" i="7"/>
  <c r="S98" i="7"/>
  <c r="S97" i="7"/>
  <c r="S96" i="7"/>
  <c r="S95" i="7"/>
  <c r="S94" i="7"/>
  <c r="S93" i="7"/>
  <c r="S92" i="7"/>
  <c r="S91" i="7"/>
  <c r="S90" i="7"/>
  <c r="S89" i="7"/>
  <c r="S88" i="7"/>
  <c r="S87" i="7"/>
  <c r="S86" i="7"/>
  <c r="S85" i="7"/>
  <c r="S84" i="7"/>
  <c r="S83" i="7"/>
  <c r="S82" i="7"/>
  <c r="S81" i="7"/>
  <c r="S80" i="7"/>
  <c r="S79" i="7"/>
  <c r="S78" i="7"/>
  <c r="S77" i="7"/>
  <c r="S76" i="7"/>
  <c r="S75" i="7"/>
  <c r="S74" i="7"/>
  <c r="S73" i="7"/>
  <c r="S72" i="7"/>
  <c r="S71" i="7"/>
  <c r="S70" i="7"/>
  <c r="S69" i="7"/>
  <c r="S68" i="7"/>
  <c r="S67" i="7"/>
  <c r="S66" i="7"/>
  <c r="S65" i="7"/>
  <c r="S64" i="7"/>
  <c r="S63" i="7"/>
  <c r="S62" i="7"/>
  <c r="S61" i="7"/>
  <c r="S60" i="7"/>
  <c r="S59" i="7"/>
  <c r="S58" i="7"/>
  <c r="S57" i="7"/>
  <c r="S56" i="7"/>
  <c r="S55" i="7"/>
  <c r="S54" i="7"/>
  <c r="S53" i="7"/>
  <c r="S52" i="7"/>
  <c r="S51" i="7"/>
  <c r="S50" i="7"/>
  <c r="S49" i="7"/>
  <c r="S48" i="7"/>
  <c r="S47" i="7"/>
  <c r="S46" i="7"/>
  <c r="S45" i="7"/>
  <c r="S44" i="7"/>
  <c r="S43" i="7"/>
  <c r="S42" i="7"/>
  <c r="S41" i="7"/>
  <c r="S40" i="7"/>
  <c r="S39" i="7"/>
  <c r="S38" i="7"/>
  <c r="S37" i="7"/>
  <c r="S36" i="7"/>
  <c r="S35" i="7"/>
  <c r="S34" i="7"/>
  <c r="S33" i="7"/>
  <c r="S32" i="7"/>
  <c r="S31" i="7"/>
  <c r="S30" i="7"/>
  <c r="S29" i="7"/>
  <c r="S28" i="7"/>
  <c r="S27" i="7"/>
  <c r="S26" i="7"/>
  <c r="S25" i="7"/>
  <c r="S24" i="7"/>
  <c r="S23" i="7"/>
  <c r="S22" i="7"/>
  <c r="S21" i="7"/>
  <c r="S20" i="7"/>
  <c r="S19" i="7"/>
  <c r="S18" i="7"/>
  <c r="S17" i="7"/>
  <c r="S16" i="7"/>
  <c r="S15" i="7"/>
  <c r="S14" i="7"/>
  <c r="S13" i="7"/>
  <c r="S12" i="7"/>
  <c r="S11" i="7"/>
  <c r="S10" i="7"/>
  <c r="S9" i="7"/>
  <c r="S8" i="7"/>
  <c r="S7" i="7"/>
  <c r="S6" i="7"/>
  <c r="S5" i="7"/>
  <c r="S4" i="7"/>
  <c r="S3" i="7"/>
  <c r="S2" i="7"/>
  <c r="R181" i="7"/>
  <c r="T181" i="7" s="1"/>
  <c r="R180" i="7"/>
  <c r="T180" i="7" s="1"/>
  <c r="R179" i="7"/>
  <c r="T179" i="7" s="1"/>
  <c r="R178" i="7"/>
  <c r="T178" i="7" s="1"/>
  <c r="R177" i="7"/>
  <c r="T177" i="7" s="1"/>
  <c r="R176" i="7"/>
  <c r="T176" i="7" s="1"/>
  <c r="R175" i="7"/>
  <c r="T175" i="7" s="1"/>
  <c r="R174" i="7"/>
  <c r="T174" i="7" s="1"/>
  <c r="R173" i="7"/>
  <c r="T173" i="7" s="1"/>
  <c r="R172" i="7"/>
  <c r="T172" i="7" s="1"/>
  <c r="R171" i="7"/>
  <c r="T171" i="7" s="1"/>
  <c r="R170" i="7"/>
  <c r="T170" i="7" s="1"/>
  <c r="R169" i="7"/>
  <c r="T169" i="7" s="1"/>
  <c r="R168" i="7"/>
  <c r="T168" i="7" s="1"/>
  <c r="R167" i="7"/>
  <c r="T167" i="7" s="1"/>
  <c r="R166" i="7"/>
  <c r="T166" i="7" s="1"/>
  <c r="R165" i="7"/>
  <c r="T165" i="7" s="1"/>
  <c r="R164" i="7"/>
  <c r="T164" i="7" s="1"/>
  <c r="R163" i="7"/>
  <c r="T163" i="7" s="1"/>
  <c r="R162" i="7"/>
  <c r="T162" i="7" s="1"/>
  <c r="R161" i="7"/>
  <c r="T161" i="7" s="1"/>
  <c r="R160" i="7"/>
  <c r="T160" i="7" s="1"/>
  <c r="R159" i="7"/>
  <c r="T159" i="7" s="1"/>
  <c r="R158" i="7"/>
  <c r="T158" i="7" s="1"/>
  <c r="R157" i="7"/>
  <c r="T157" i="7" s="1"/>
  <c r="R156" i="7"/>
  <c r="T156" i="7" s="1"/>
  <c r="R155" i="7"/>
  <c r="T155" i="7" s="1"/>
  <c r="R154" i="7"/>
  <c r="T154" i="7" s="1"/>
  <c r="R153" i="7"/>
  <c r="T153" i="7" s="1"/>
  <c r="R152" i="7"/>
  <c r="T152" i="7" s="1"/>
  <c r="R151" i="7"/>
  <c r="T151" i="7" s="1"/>
  <c r="R149" i="7"/>
  <c r="T149" i="7" s="1"/>
  <c r="R148" i="7"/>
  <c r="T148" i="7" s="1"/>
  <c r="R147" i="7"/>
  <c r="T147" i="7" s="1"/>
  <c r="R146" i="7"/>
  <c r="T146" i="7" s="1"/>
  <c r="R145" i="7"/>
  <c r="T145" i="7" s="1"/>
  <c r="R144" i="7"/>
  <c r="T144" i="7" s="1"/>
  <c r="R143" i="7"/>
  <c r="T143" i="7" s="1"/>
  <c r="R142" i="7"/>
  <c r="T142" i="7" s="1"/>
  <c r="R141" i="7"/>
  <c r="T141" i="7" s="1"/>
  <c r="R140" i="7"/>
  <c r="T140" i="7" s="1"/>
  <c r="R139" i="7"/>
  <c r="T139" i="7" s="1"/>
  <c r="R138" i="7"/>
  <c r="T138" i="7" s="1"/>
  <c r="R137" i="7"/>
  <c r="T137" i="7" s="1"/>
  <c r="R133" i="7"/>
  <c r="T133" i="7" s="1"/>
  <c r="R132" i="7"/>
  <c r="T132" i="7" s="1"/>
  <c r="R131" i="7"/>
  <c r="T131" i="7" s="1"/>
  <c r="R130" i="7"/>
  <c r="T130" i="7" s="1"/>
  <c r="R129" i="7"/>
  <c r="T129" i="7" s="1"/>
  <c r="R128" i="7"/>
  <c r="T128" i="7" s="1"/>
  <c r="R127" i="7"/>
  <c r="T127" i="7" s="1"/>
  <c r="R126" i="7"/>
  <c r="T126" i="7" s="1"/>
  <c r="R125" i="7"/>
  <c r="T125" i="7" s="1"/>
  <c r="R121" i="7"/>
  <c r="T121" i="7" s="1"/>
  <c r="R120" i="7"/>
  <c r="T120" i="7" s="1"/>
  <c r="R119" i="7"/>
  <c r="T119" i="7" s="1"/>
  <c r="R118" i="7"/>
  <c r="T118" i="7" s="1"/>
  <c r="R117" i="7"/>
  <c r="T117" i="7" s="1"/>
  <c r="R116" i="7"/>
  <c r="T116" i="7" s="1"/>
  <c r="R115" i="7"/>
  <c r="T115" i="7" s="1"/>
  <c r="R114" i="7"/>
  <c r="T114" i="7" s="1"/>
  <c r="R113" i="7"/>
  <c r="T113" i="7" s="1"/>
  <c r="R112" i="7"/>
  <c r="T112" i="7" s="1"/>
  <c r="R111" i="7"/>
  <c r="T111" i="7" s="1"/>
  <c r="R110" i="7"/>
  <c r="T110" i="7" s="1"/>
  <c r="R109" i="7"/>
  <c r="T109" i="7" s="1"/>
  <c r="R106" i="7"/>
  <c r="T106" i="7" s="1"/>
  <c r="R105" i="7"/>
  <c r="T105" i="7" s="1"/>
  <c r="R104" i="7"/>
  <c r="T104" i="7" s="1"/>
  <c r="R103" i="7"/>
  <c r="T103" i="7" s="1"/>
  <c r="R102" i="7"/>
  <c r="T102" i="7" s="1"/>
  <c r="R101" i="7"/>
  <c r="T101" i="7" s="1"/>
  <c r="R100" i="7"/>
  <c r="T100" i="7" s="1"/>
  <c r="R99" i="7"/>
  <c r="T99" i="7" s="1"/>
  <c r="R98" i="7"/>
  <c r="T98" i="7" s="1"/>
  <c r="R97" i="7"/>
  <c r="T97" i="7" s="1"/>
  <c r="R96" i="7"/>
  <c r="T96" i="7" s="1"/>
  <c r="R95" i="7"/>
  <c r="T95" i="7" s="1"/>
  <c r="R94" i="7"/>
  <c r="T94" i="7" s="1"/>
  <c r="R93" i="7"/>
  <c r="T93" i="7" s="1"/>
  <c r="R92" i="7"/>
  <c r="T92" i="7" s="1"/>
  <c r="R91" i="7"/>
  <c r="T91" i="7" s="1"/>
  <c r="R90" i="7"/>
  <c r="T90" i="7" s="1"/>
  <c r="R89" i="7"/>
  <c r="T89" i="7" s="1"/>
  <c r="R88" i="7"/>
  <c r="T88" i="7" s="1"/>
  <c r="R87" i="7"/>
  <c r="T87" i="7" s="1"/>
  <c r="R86" i="7"/>
  <c r="T86" i="7" s="1"/>
  <c r="R85" i="7"/>
  <c r="T85" i="7" s="1"/>
  <c r="R84" i="7"/>
  <c r="T84" i="7" s="1"/>
  <c r="R83" i="7"/>
  <c r="T83" i="7" s="1"/>
  <c r="R82" i="7"/>
  <c r="T82" i="7" s="1"/>
  <c r="R81" i="7"/>
  <c r="T81" i="7" s="1"/>
  <c r="R80" i="7"/>
  <c r="T80" i="7" s="1"/>
  <c r="R79" i="7"/>
  <c r="T79" i="7" s="1"/>
  <c r="R78" i="7"/>
  <c r="T78" i="7" s="1"/>
  <c r="R77" i="7"/>
  <c r="T77" i="7" s="1"/>
  <c r="R76" i="7"/>
  <c r="T76" i="7" s="1"/>
  <c r="R75" i="7"/>
  <c r="T75" i="7" s="1"/>
  <c r="R74" i="7"/>
  <c r="T74" i="7" s="1"/>
  <c r="R73" i="7"/>
  <c r="T73" i="7" s="1"/>
  <c r="R72" i="7"/>
  <c r="T72" i="7" s="1"/>
  <c r="R71" i="7"/>
  <c r="T71" i="7" s="1"/>
  <c r="R70" i="7"/>
  <c r="T70" i="7" s="1"/>
  <c r="R69" i="7"/>
  <c r="T69" i="7" s="1"/>
  <c r="R68" i="7"/>
  <c r="T68" i="7" s="1"/>
  <c r="R67" i="7"/>
  <c r="T67" i="7" s="1"/>
  <c r="R66" i="7"/>
  <c r="T66" i="7" s="1"/>
  <c r="R65" i="7"/>
  <c r="T65" i="7" s="1"/>
  <c r="R64" i="7"/>
  <c r="T64" i="7" s="1"/>
  <c r="R63" i="7"/>
  <c r="T63" i="7" s="1"/>
  <c r="R62" i="7"/>
  <c r="T62" i="7" s="1"/>
  <c r="R61" i="7"/>
  <c r="T61" i="7" s="1"/>
  <c r="R60" i="7"/>
  <c r="T60" i="7" s="1"/>
  <c r="R59" i="7"/>
  <c r="T59" i="7" s="1"/>
  <c r="R58" i="7"/>
  <c r="T58" i="7" s="1"/>
  <c r="R57" i="7"/>
  <c r="T57" i="7" s="1"/>
  <c r="R56" i="7"/>
  <c r="T56" i="7" s="1"/>
  <c r="R55" i="7"/>
  <c r="T55" i="7" s="1"/>
  <c r="R54" i="7"/>
  <c r="T54" i="7" s="1"/>
  <c r="R53" i="7"/>
  <c r="T53" i="7" s="1"/>
  <c r="R52" i="7"/>
  <c r="T52" i="7" s="1"/>
  <c r="R51" i="7"/>
  <c r="T51" i="7" s="1"/>
  <c r="R50" i="7"/>
  <c r="T50" i="7" s="1"/>
  <c r="R49" i="7"/>
  <c r="T49" i="7" s="1"/>
  <c r="R48" i="7"/>
  <c r="T48" i="7" s="1"/>
  <c r="R47" i="7"/>
  <c r="T47" i="7" s="1"/>
  <c r="R46" i="7"/>
  <c r="T46" i="7" s="1"/>
  <c r="R45" i="7"/>
  <c r="T45" i="7" s="1"/>
  <c r="R44" i="7"/>
  <c r="T44" i="7" s="1"/>
  <c r="R43" i="7"/>
  <c r="T43" i="7" s="1"/>
  <c r="R42" i="7"/>
  <c r="T42" i="7" s="1"/>
  <c r="R41" i="7"/>
  <c r="T41" i="7" s="1"/>
  <c r="R40" i="7"/>
  <c r="T40" i="7" s="1"/>
  <c r="R39" i="7"/>
  <c r="T39" i="7" s="1"/>
  <c r="R38" i="7"/>
  <c r="T38" i="7" s="1"/>
  <c r="R37" i="7"/>
  <c r="T37" i="7" s="1"/>
  <c r="R36" i="7"/>
  <c r="T36" i="7" s="1"/>
  <c r="R35" i="7"/>
  <c r="T35" i="7" s="1"/>
  <c r="R34" i="7"/>
  <c r="T34" i="7" s="1"/>
  <c r="R33" i="7"/>
  <c r="T33" i="7" s="1"/>
  <c r="R32" i="7"/>
  <c r="T32" i="7" s="1"/>
  <c r="R31" i="7"/>
  <c r="T31" i="7" s="1"/>
  <c r="R30" i="7"/>
  <c r="T30" i="7" s="1"/>
  <c r="R29" i="7"/>
  <c r="T29" i="7" s="1"/>
  <c r="R28" i="7"/>
  <c r="T28" i="7" s="1"/>
  <c r="R27" i="7"/>
  <c r="T27" i="7" s="1"/>
  <c r="R26" i="7"/>
  <c r="T26" i="7" s="1"/>
  <c r="R25" i="7"/>
  <c r="T25" i="7" s="1"/>
  <c r="R24" i="7"/>
  <c r="T24" i="7" s="1"/>
  <c r="R23" i="7"/>
  <c r="T23" i="7" s="1"/>
  <c r="R22" i="7"/>
  <c r="T22" i="7" s="1"/>
  <c r="R21" i="7"/>
  <c r="T21" i="7" s="1"/>
  <c r="R20" i="7"/>
  <c r="T20" i="7" s="1"/>
  <c r="R19" i="7"/>
  <c r="T19" i="7" s="1"/>
  <c r="R18" i="7"/>
  <c r="T18" i="7" s="1"/>
  <c r="R17" i="7"/>
  <c r="T17" i="7" s="1"/>
  <c r="R16" i="7"/>
  <c r="T16" i="7" s="1"/>
  <c r="R15" i="7"/>
  <c r="T15" i="7" s="1"/>
  <c r="R14" i="7"/>
  <c r="T14" i="7" s="1"/>
  <c r="R13" i="7"/>
  <c r="T13" i="7" s="1"/>
  <c r="R12" i="7"/>
  <c r="T12" i="7" s="1"/>
  <c r="R11" i="7"/>
  <c r="T11" i="7" s="1"/>
  <c r="R10" i="7"/>
  <c r="T10" i="7" s="1"/>
  <c r="R9" i="7"/>
  <c r="T9" i="7" s="1"/>
  <c r="R8" i="7"/>
  <c r="T8" i="7" s="1"/>
  <c r="R7" i="7"/>
  <c r="T7" i="7" s="1"/>
  <c r="R6" i="7"/>
  <c r="T6" i="7" s="1"/>
  <c r="R5" i="7"/>
  <c r="T5" i="7" s="1"/>
  <c r="R4" i="7"/>
  <c r="T4" i="7" s="1"/>
  <c r="R3" i="7"/>
  <c r="T3" i="7" s="1"/>
  <c r="R2" i="7"/>
  <c r="T2" i="7" s="1"/>
  <c r="N2" i="7"/>
  <c r="X2" i="7" s="1"/>
  <c r="N3" i="7"/>
  <c r="X3" i="7" s="1"/>
  <c r="N4" i="7"/>
  <c r="X4" i="7" s="1"/>
  <c r="N5" i="7"/>
  <c r="X5" i="7" s="1"/>
  <c r="N6" i="7"/>
  <c r="X6" i="7" s="1"/>
  <c r="N7" i="7"/>
  <c r="X7" i="7" s="1"/>
  <c r="N8" i="7"/>
  <c r="X8" i="7" s="1"/>
  <c r="N9" i="7"/>
  <c r="X9" i="7" s="1"/>
  <c r="N10" i="7"/>
  <c r="X10" i="7" s="1"/>
  <c r="N11" i="7"/>
  <c r="X11" i="7" s="1"/>
  <c r="N12" i="7"/>
  <c r="X12" i="7" s="1"/>
  <c r="N13" i="7"/>
  <c r="X13" i="7" s="1"/>
  <c r="N14" i="7"/>
  <c r="X14" i="7" s="1"/>
  <c r="N15" i="7"/>
  <c r="X15" i="7" s="1"/>
  <c r="N16" i="7"/>
  <c r="X16" i="7" s="1"/>
  <c r="N17" i="7"/>
  <c r="X17" i="7" s="1"/>
  <c r="N18" i="7"/>
  <c r="X18" i="7" s="1"/>
  <c r="N19" i="7"/>
  <c r="X19" i="7" s="1"/>
  <c r="N20" i="7"/>
  <c r="X20" i="7" s="1"/>
  <c r="N21" i="7"/>
  <c r="X21" i="7" s="1"/>
  <c r="N22" i="7"/>
  <c r="X22" i="7" s="1"/>
  <c r="N23" i="7"/>
  <c r="X23" i="7" s="1"/>
  <c r="N24" i="7"/>
  <c r="X24" i="7" s="1"/>
  <c r="N25" i="7"/>
  <c r="X25" i="7" s="1"/>
  <c r="N26" i="7"/>
  <c r="X26" i="7" s="1"/>
  <c r="N27" i="7"/>
  <c r="X27" i="7" s="1"/>
  <c r="N28" i="7"/>
  <c r="X28" i="7" s="1"/>
  <c r="N29" i="7"/>
  <c r="X29" i="7" s="1"/>
  <c r="N30" i="7"/>
  <c r="X30" i="7" s="1"/>
  <c r="N31" i="7"/>
  <c r="X31" i="7" s="1"/>
  <c r="N32" i="7"/>
  <c r="X32" i="7" s="1"/>
  <c r="N33" i="7"/>
  <c r="X33" i="7" s="1"/>
  <c r="N34" i="7"/>
  <c r="X34" i="7" s="1"/>
  <c r="N35" i="7"/>
  <c r="X35" i="7" s="1"/>
  <c r="N36" i="7"/>
  <c r="X36" i="7" s="1"/>
  <c r="N37" i="7"/>
  <c r="X37" i="7" s="1"/>
  <c r="N38" i="7"/>
  <c r="X38" i="7" s="1"/>
  <c r="N39" i="7"/>
  <c r="X39" i="7" s="1"/>
  <c r="N40" i="7"/>
  <c r="X40" i="7" s="1"/>
  <c r="N41" i="7"/>
  <c r="X41" i="7" s="1"/>
  <c r="N42" i="7"/>
  <c r="X42" i="7" s="1"/>
  <c r="N43" i="7"/>
  <c r="X43" i="7" s="1"/>
  <c r="N44" i="7"/>
  <c r="X44" i="7" s="1"/>
  <c r="N45" i="7"/>
  <c r="X45" i="7" s="1"/>
  <c r="N46" i="7"/>
  <c r="X46" i="7" s="1"/>
  <c r="N47" i="7"/>
  <c r="X47" i="7" s="1"/>
  <c r="N48" i="7"/>
  <c r="X48" i="7" s="1"/>
  <c r="N49" i="7"/>
  <c r="X49" i="7" s="1"/>
  <c r="N50" i="7"/>
  <c r="X50" i="7" s="1"/>
  <c r="N51" i="7"/>
  <c r="X51" i="7" s="1"/>
  <c r="N52" i="7"/>
  <c r="X52" i="7" s="1"/>
  <c r="N53" i="7"/>
  <c r="X53" i="7" s="1"/>
  <c r="N54" i="7"/>
  <c r="X54" i="7" s="1"/>
  <c r="N55" i="7"/>
  <c r="X55" i="7" s="1"/>
  <c r="N56" i="7"/>
  <c r="X56" i="7" s="1"/>
  <c r="N57" i="7"/>
  <c r="X57" i="7" s="1"/>
  <c r="N58" i="7"/>
  <c r="X58" i="7" s="1"/>
  <c r="N59" i="7"/>
  <c r="X59" i="7" s="1"/>
  <c r="N60" i="7"/>
  <c r="X60" i="7" s="1"/>
  <c r="N61" i="7"/>
  <c r="X61" i="7" s="1"/>
  <c r="N62" i="7"/>
  <c r="X62" i="7" s="1"/>
  <c r="N63" i="7"/>
  <c r="X63" i="7" s="1"/>
  <c r="N64" i="7"/>
  <c r="X64" i="7" s="1"/>
  <c r="N65" i="7"/>
  <c r="X65" i="7" s="1"/>
  <c r="N66" i="7"/>
  <c r="X66" i="7" s="1"/>
  <c r="N67" i="7"/>
  <c r="X67" i="7" s="1"/>
  <c r="N68" i="7"/>
  <c r="X68" i="7" s="1"/>
  <c r="N69" i="7"/>
  <c r="X69" i="7" s="1"/>
  <c r="N70" i="7"/>
  <c r="X70" i="7" s="1"/>
  <c r="N71" i="7"/>
  <c r="X71" i="7" s="1"/>
  <c r="N72" i="7"/>
  <c r="X72" i="7" s="1"/>
  <c r="N73" i="7"/>
  <c r="X73" i="7" s="1"/>
  <c r="N74" i="7"/>
  <c r="X74" i="7" s="1"/>
  <c r="N75" i="7"/>
  <c r="X75" i="7" s="1"/>
  <c r="N76" i="7"/>
  <c r="X76" i="7" s="1"/>
  <c r="N77" i="7"/>
  <c r="X77" i="7" s="1"/>
  <c r="N78" i="7"/>
  <c r="X78" i="7" s="1"/>
  <c r="N79" i="7"/>
  <c r="X79" i="7" s="1"/>
  <c r="N80" i="7"/>
  <c r="X80" i="7" s="1"/>
  <c r="N81" i="7"/>
  <c r="X81" i="7" s="1"/>
  <c r="N82" i="7"/>
  <c r="X82" i="7" s="1"/>
  <c r="N83" i="7"/>
  <c r="X83" i="7" s="1"/>
  <c r="N84" i="7"/>
  <c r="X84" i="7" s="1"/>
  <c r="N85" i="7"/>
  <c r="X85" i="7" s="1"/>
  <c r="N86" i="7"/>
  <c r="X86" i="7" s="1"/>
  <c r="N87" i="7"/>
  <c r="X87" i="7" s="1"/>
  <c r="N88" i="7"/>
  <c r="X88" i="7" s="1"/>
  <c r="N89" i="7"/>
  <c r="X89" i="7" s="1"/>
  <c r="N90" i="7"/>
  <c r="X90" i="7" s="1"/>
  <c r="N91" i="7"/>
  <c r="X91" i="7" s="1"/>
  <c r="N92" i="7"/>
  <c r="X92" i="7" s="1"/>
  <c r="N93" i="7"/>
  <c r="X93" i="7" s="1"/>
  <c r="N94" i="7"/>
  <c r="X94" i="7" s="1"/>
  <c r="N95" i="7"/>
  <c r="X95" i="7" s="1"/>
  <c r="N96" i="7"/>
  <c r="X96" i="7" s="1"/>
  <c r="N97" i="7"/>
  <c r="X97" i="7" s="1"/>
  <c r="N98" i="7"/>
  <c r="X98" i="7" s="1"/>
  <c r="N99" i="7"/>
  <c r="X99" i="7" s="1"/>
  <c r="N100" i="7"/>
  <c r="X100" i="7" s="1"/>
  <c r="N101" i="7"/>
  <c r="X101" i="7" s="1"/>
  <c r="N102" i="7"/>
  <c r="X102" i="7" s="1"/>
  <c r="N103" i="7"/>
  <c r="X103" i="7" s="1"/>
  <c r="N104" i="7"/>
  <c r="X104" i="7" s="1"/>
  <c r="N105" i="7"/>
  <c r="X105" i="7" s="1"/>
  <c r="N106" i="7"/>
  <c r="X106" i="7" s="1"/>
  <c r="N107" i="7"/>
  <c r="X107" i="7" s="1"/>
  <c r="N108" i="7"/>
  <c r="X108" i="7" s="1"/>
  <c r="N109" i="7"/>
  <c r="X109" i="7" s="1"/>
  <c r="N110" i="7"/>
  <c r="X110" i="7" s="1"/>
  <c r="N111" i="7"/>
  <c r="X111" i="7" s="1"/>
  <c r="N112" i="7"/>
  <c r="X112" i="7" s="1"/>
  <c r="N113" i="7"/>
  <c r="X113" i="7" s="1"/>
  <c r="N114" i="7"/>
  <c r="X114" i="7" s="1"/>
  <c r="N115" i="7"/>
  <c r="X115" i="7" s="1"/>
  <c r="N116" i="7"/>
  <c r="X116" i="7" s="1"/>
  <c r="N117" i="7"/>
  <c r="X117" i="7" s="1"/>
  <c r="N118" i="7"/>
  <c r="X118" i="7" s="1"/>
  <c r="N119" i="7"/>
  <c r="X119" i="7" s="1"/>
  <c r="N120" i="7"/>
  <c r="X120" i="7" s="1"/>
  <c r="N121" i="7"/>
  <c r="X121" i="7" s="1"/>
  <c r="N122" i="7"/>
  <c r="X122" i="7" s="1"/>
  <c r="N123" i="7"/>
  <c r="X123" i="7" s="1"/>
  <c r="N124" i="7"/>
  <c r="X124" i="7" s="1"/>
  <c r="N125" i="7"/>
  <c r="X125" i="7" s="1"/>
  <c r="N126" i="7"/>
  <c r="X126" i="7" s="1"/>
  <c r="N127" i="7"/>
  <c r="X127" i="7" s="1"/>
  <c r="N128" i="7"/>
  <c r="X128" i="7" s="1"/>
  <c r="N129" i="7"/>
  <c r="X129" i="7" s="1"/>
  <c r="N130" i="7"/>
  <c r="X130" i="7" s="1"/>
  <c r="N131" i="7"/>
  <c r="X131" i="7" s="1"/>
  <c r="N132" i="7"/>
  <c r="X132" i="7" s="1"/>
  <c r="N133" i="7"/>
  <c r="X133" i="7" s="1"/>
  <c r="N134" i="7"/>
  <c r="X134" i="7" s="1"/>
  <c r="N135" i="7"/>
  <c r="X135" i="7" s="1"/>
  <c r="N136" i="7"/>
  <c r="X136" i="7" s="1"/>
  <c r="N137" i="7"/>
  <c r="X137" i="7" s="1"/>
  <c r="N138" i="7"/>
  <c r="X138" i="7" s="1"/>
  <c r="N139" i="7"/>
  <c r="X139" i="7" s="1"/>
  <c r="N140" i="7"/>
  <c r="X140" i="7" s="1"/>
  <c r="N141" i="7"/>
  <c r="X141" i="7" s="1"/>
  <c r="N142" i="7"/>
  <c r="X142" i="7" s="1"/>
  <c r="N143" i="7"/>
  <c r="X143" i="7" s="1"/>
  <c r="N144" i="7"/>
  <c r="X144" i="7" s="1"/>
  <c r="N145" i="7"/>
  <c r="X145" i="7" s="1"/>
  <c r="N146" i="7"/>
  <c r="X146" i="7" s="1"/>
  <c r="N147" i="7"/>
  <c r="X147" i="7" s="1"/>
  <c r="N148" i="7"/>
  <c r="X148" i="7" s="1"/>
  <c r="N149" i="7"/>
  <c r="X149" i="7" s="1"/>
  <c r="N150" i="7"/>
  <c r="X150" i="7" s="1"/>
  <c r="N151" i="7"/>
  <c r="X151" i="7" s="1"/>
  <c r="N152" i="7"/>
  <c r="X152" i="7" s="1"/>
  <c r="N153" i="7"/>
  <c r="X153" i="7" s="1"/>
  <c r="N154" i="7"/>
  <c r="X154" i="7" s="1"/>
  <c r="N155" i="7"/>
  <c r="X155" i="7" s="1"/>
  <c r="N156" i="7"/>
  <c r="X156" i="7" s="1"/>
  <c r="N157" i="7"/>
  <c r="X157" i="7" s="1"/>
  <c r="N158" i="7"/>
  <c r="X158" i="7" s="1"/>
  <c r="N159" i="7"/>
  <c r="X159" i="7" s="1"/>
  <c r="N160" i="7"/>
  <c r="X160" i="7" s="1"/>
  <c r="N161" i="7"/>
  <c r="X161" i="7" s="1"/>
  <c r="N162" i="7"/>
  <c r="X162" i="7" s="1"/>
  <c r="N163" i="7"/>
  <c r="X163" i="7" s="1"/>
  <c r="N164" i="7"/>
  <c r="X164" i="7" s="1"/>
  <c r="N165" i="7"/>
  <c r="X165" i="7" s="1"/>
  <c r="N166" i="7"/>
  <c r="X166" i="7" s="1"/>
  <c r="N167" i="7"/>
  <c r="X167" i="7" s="1"/>
  <c r="N168" i="7"/>
  <c r="X168" i="7" s="1"/>
  <c r="N169" i="7"/>
  <c r="X169" i="7" s="1"/>
  <c r="N170" i="7"/>
  <c r="X170" i="7" s="1"/>
  <c r="N171" i="7"/>
  <c r="X171" i="7" s="1"/>
  <c r="N172" i="7"/>
  <c r="X172" i="7" s="1"/>
  <c r="N173" i="7"/>
  <c r="X173" i="7" s="1"/>
  <c r="N174" i="7"/>
  <c r="X174" i="7" s="1"/>
  <c r="N175" i="7"/>
  <c r="X175" i="7" s="1"/>
  <c r="N176" i="7"/>
  <c r="X176" i="7" s="1"/>
  <c r="N177" i="7"/>
  <c r="X177" i="7" s="1"/>
  <c r="N178" i="7"/>
  <c r="X178" i="7" s="1"/>
  <c r="N179" i="7"/>
  <c r="X179" i="7" s="1"/>
  <c r="N180" i="7"/>
  <c r="X180" i="7" s="1"/>
  <c r="N181" i="7"/>
  <c r="X181" i="7" s="1"/>
  <c r="N182" i="7"/>
  <c r="X182" i="7" s="1"/>
  <c r="N183" i="7"/>
  <c r="X183" i="7" s="1"/>
  <c r="N184" i="7"/>
  <c r="X184" i="7" s="1"/>
  <c r="K2" i="7"/>
  <c r="K3" i="7"/>
  <c r="K4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K67" i="7"/>
  <c r="K68" i="7"/>
  <c r="K69" i="7"/>
  <c r="K70" i="7"/>
  <c r="K71" i="7"/>
  <c r="K72" i="7"/>
  <c r="K73" i="7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6" i="7"/>
  <c r="K107" i="7"/>
  <c r="K108" i="7"/>
  <c r="K109" i="7"/>
  <c r="K110" i="7"/>
  <c r="K111" i="7"/>
  <c r="K112" i="7"/>
  <c r="K113" i="7"/>
  <c r="K114" i="7"/>
  <c r="K115" i="7"/>
  <c r="K116" i="7"/>
  <c r="K117" i="7"/>
  <c r="K118" i="7"/>
  <c r="K119" i="7"/>
  <c r="K120" i="7"/>
  <c r="K121" i="7"/>
  <c r="K122" i="7"/>
  <c r="K123" i="7"/>
  <c r="K124" i="7"/>
  <c r="K125" i="7"/>
  <c r="K126" i="7"/>
  <c r="K127" i="7"/>
  <c r="K128" i="7"/>
  <c r="K129" i="7"/>
  <c r="K130" i="7"/>
  <c r="K131" i="7"/>
  <c r="K132" i="7"/>
  <c r="K133" i="7"/>
  <c r="K134" i="7"/>
  <c r="K135" i="7"/>
  <c r="K136" i="7"/>
  <c r="K137" i="7"/>
  <c r="K138" i="7"/>
  <c r="K139" i="7"/>
  <c r="K140" i="7"/>
  <c r="K141" i="7"/>
  <c r="K142" i="7"/>
  <c r="K143" i="7"/>
  <c r="K144" i="7"/>
  <c r="K145" i="7"/>
  <c r="K146" i="7"/>
  <c r="K147" i="7"/>
  <c r="K148" i="7"/>
  <c r="K149" i="7"/>
  <c r="K150" i="7"/>
  <c r="K151" i="7"/>
  <c r="K152" i="7"/>
  <c r="K153" i="7"/>
  <c r="K154" i="7"/>
  <c r="K155" i="7"/>
  <c r="K156" i="7"/>
  <c r="K157" i="7"/>
  <c r="K158" i="7"/>
  <c r="K159" i="7"/>
  <c r="K160" i="7"/>
  <c r="K161" i="7"/>
  <c r="K162" i="7"/>
  <c r="K163" i="7"/>
  <c r="K164" i="7"/>
  <c r="K165" i="7"/>
  <c r="K166" i="7"/>
  <c r="K167" i="7"/>
  <c r="K168" i="7"/>
  <c r="K169" i="7"/>
  <c r="K170" i="7"/>
  <c r="K171" i="7"/>
  <c r="K172" i="7"/>
  <c r="K173" i="7"/>
  <c r="K174" i="7"/>
  <c r="K175" i="7"/>
  <c r="K176" i="7"/>
  <c r="K177" i="7"/>
  <c r="K178" i="7"/>
  <c r="K179" i="7"/>
  <c r="K180" i="7"/>
  <c r="K181" i="7"/>
  <c r="K182" i="7"/>
  <c r="K183" i="7"/>
  <c r="K184" i="7"/>
  <c r="U184" i="7" l="1"/>
  <c r="W184" i="7" s="1"/>
  <c r="L184" i="7"/>
  <c r="U183" i="7"/>
  <c r="W183" i="7" s="1"/>
  <c r="L183" i="7"/>
  <c r="U182" i="7"/>
  <c r="W182" i="7" s="1"/>
  <c r="L182" i="7"/>
  <c r="U181" i="7"/>
  <c r="W181" i="7" s="1"/>
  <c r="L181" i="7"/>
  <c r="U180" i="7"/>
  <c r="W180" i="7" s="1"/>
  <c r="L180" i="7"/>
  <c r="U179" i="7"/>
  <c r="W179" i="7" s="1"/>
  <c r="L179" i="7"/>
  <c r="U178" i="7"/>
  <c r="W178" i="7" s="1"/>
  <c r="L178" i="7"/>
  <c r="U177" i="7"/>
  <c r="W177" i="7" s="1"/>
  <c r="L177" i="7"/>
  <c r="U176" i="7"/>
  <c r="W176" i="7" s="1"/>
  <c r="L176" i="7"/>
  <c r="U175" i="7"/>
  <c r="W175" i="7" s="1"/>
  <c r="L175" i="7"/>
  <c r="U174" i="7"/>
  <c r="W174" i="7" s="1"/>
  <c r="L174" i="7"/>
  <c r="U173" i="7"/>
  <c r="W173" i="7" s="1"/>
  <c r="L173" i="7"/>
  <c r="U172" i="7"/>
  <c r="W172" i="7" s="1"/>
  <c r="L172" i="7"/>
  <c r="U171" i="7"/>
  <c r="W171" i="7" s="1"/>
  <c r="L171" i="7"/>
  <c r="U170" i="7"/>
  <c r="W170" i="7" s="1"/>
  <c r="L170" i="7"/>
  <c r="U169" i="7"/>
  <c r="W169" i="7" s="1"/>
  <c r="L169" i="7"/>
  <c r="U168" i="7"/>
  <c r="W168" i="7" s="1"/>
  <c r="L168" i="7"/>
  <c r="U167" i="7"/>
  <c r="W167" i="7" s="1"/>
  <c r="L167" i="7"/>
  <c r="U166" i="7"/>
  <c r="W166" i="7" s="1"/>
  <c r="L166" i="7"/>
  <c r="U165" i="7"/>
  <c r="W165" i="7" s="1"/>
  <c r="L165" i="7"/>
  <c r="U164" i="7"/>
  <c r="W164" i="7" s="1"/>
  <c r="L164" i="7"/>
  <c r="U163" i="7"/>
  <c r="W163" i="7" s="1"/>
  <c r="L163" i="7"/>
  <c r="U162" i="7"/>
  <c r="W162" i="7" s="1"/>
  <c r="L162" i="7"/>
  <c r="U161" i="7"/>
  <c r="W161" i="7" s="1"/>
  <c r="L161" i="7"/>
  <c r="U160" i="7"/>
  <c r="W160" i="7" s="1"/>
  <c r="L160" i="7"/>
  <c r="U159" i="7"/>
  <c r="W159" i="7" s="1"/>
  <c r="L159" i="7"/>
  <c r="U158" i="7"/>
  <c r="W158" i="7" s="1"/>
  <c r="L158" i="7"/>
  <c r="U157" i="7"/>
  <c r="W157" i="7" s="1"/>
  <c r="L157" i="7"/>
  <c r="U156" i="7"/>
  <c r="W156" i="7" s="1"/>
  <c r="L156" i="7"/>
  <c r="U155" i="7"/>
  <c r="W155" i="7" s="1"/>
  <c r="L155" i="7"/>
  <c r="U154" i="7"/>
  <c r="W154" i="7" s="1"/>
  <c r="L154" i="7"/>
  <c r="U153" i="7"/>
  <c r="W153" i="7" s="1"/>
  <c r="L153" i="7"/>
  <c r="U152" i="7"/>
  <c r="W152" i="7" s="1"/>
  <c r="L152" i="7"/>
  <c r="U151" i="7"/>
  <c r="W151" i="7" s="1"/>
  <c r="L151" i="7"/>
  <c r="U150" i="7"/>
  <c r="W150" i="7" s="1"/>
  <c r="L150" i="7"/>
  <c r="U149" i="7"/>
  <c r="W149" i="7" s="1"/>
  <c r="L149" i="7"/>
  <c r="U148" i="7"/>
  <c r="W148" i="7" s="1"/>
  <c r="L148" i="7"/>
  <c r="U147" i="7"/>
  <c r="W147" i="7" s="1"/>
  <c r="L147" i="7"/>
  <c r="U146" i="7"/>
  <c r="W146" i="7" s="1"/>
  <c r="L146" i="7"/>
  <c r="U145" i="7"/>
  <c r="W145" i="7" s="1"/>
  <c r="L145" i="7"/>
  <c r="U144" i="7"/>
  <c r="W144" i="7" s="1"/>
  <c r="L144" i="7"/>
  <c r="U143" i="7"/>
  <c r="W143" i="7" s="1"/>
  <c r="L143" i="7"/>
  <c r="U142" i="7"/>
  <c r="W142" i="7" s="1"/>
  <c r="L142" i="7"/>
  <c r="U141" i="7"/>
  <c r="W141" i="7" s="1"/>
  <c r="L141" i="7"/>
  <c r="U140" i="7"/>
  <c r="W140" i="7" s="1"/>
  <c r="L140" i="7"/>
  <c r="U139" i="7"/>
  <c r="W139" i="7" s="1"/>
  <c r="L139" i="7"/>
  <c r="U138" i="7"/>
  <c r="W138" i="7" s="1"/>
  <c r="L138" i="7"/>
  <c r="U137" i="7"/>
  <c r="W137" i="7" s="1"/>
  <c r="L137" i="7"/>
  <c r="U136" i="7"/>
  <c r="W136" i="7" s="1"/>
  <c r="L136" i="7"/>
  <c r="U135" i="7"/>
  <c r="W135" i="7" s="1"/>
  <c r="L135" i="7"/>
  <c r="U134" i="7"/>
  <c r="W134" i="7" s="1"/>
  <c r="L134" i="7"/>
  <c r="U133" i="7"/>
  <c r="W133" i="7" s="1"/>
  <c r="L133" i="7"/>
  <c r="U132" i="7"/>
  <c r="W132" i="7" s="1"/>
  <c r="L132" i="7"/>
  <c r="U131" i="7"/>
  <c r="W131" i="7" s="1"/>
  <c r="L131" i="7"/>
  <c r="U130" i="7"/>
  <c r="W130" i="7" s="1"/>
  <c r="L130" i="7"/>
  <c r="U129" i="7"/>
  <c r="W129" i="7" s="1"/>
  <c r="L129" i="7"/>
  <c r="U128" i="7"/>
  <c r="W128" i="7" s="1"/>
  <c r="L128" i="7"/>
  <c r="U127" i="7"/>
  <c r="W127" i="7" s="1"/>
  <c r="L127" i="7"/>
  <c r="U126" i="7"/>
  <c r="W126" i="7" s="1"/>
  <c r="L126" i="7"/>
  <c r="U125" i="7"/>
  <c r="W125" i="7" s="1"/>
  <c r="L125" i="7"/>
  <c r="U124" i="7"/>
  <c r="W124" i="7" s="1"/>
  <c r="L124" i="7"/>
  <c r="U123" i="7"/>
  <c r="W123" i="7" s="1"/>
  <c r="L123" i="7"/>
  <c r="U122" i="7"/>
  <c r="W122" i="7" s="1"/>
  <c r="L122" i="7"/>
  <c r="U121" i="7"/>
  <c r="W121" i="7" s="1"/>
  <c r="L121" i="7"/>
  <c r="U120" i="7"/>
  <c r="W120" i="7" s="1"/>
  <c r="L120" i="7"/>
  <c r="U119" i="7"/>
  <c r="W119" i="7" s="1"/>
  <c r="L119" i="7"/>
  <c r="U118" i="7"/>
  <c r="W118" i="7" s="1"/>
  <c r="L118" i="7"/>
  <c r="U117" i="7"/>
  <c r="W117" i="7" s="1"/>
  <c r="L117" i="7"/>
  <c r="U116" i="7"/>
  <c r="W116" i="7" s="1"/>
  <c r="L116" i="7"/>
  <c r="U115" i="7"/>
  <c r="W115" i="7" s="1"/>
  <c r="L115" i="7"/>
  <c r="U114" i="7"/>
  <c r="W114" i="7" s="1"/>
  <c r="L114" i="7"/>
  <c r="U113" i="7"/>
  <c r="W113" i="7" s="1"/>
  <c r="L113" i="7"/>
  <c r="U112" i="7"/>
  <c r="W112" i="7" s="1"/>
  <c r="L112" i="7"/>
  <c r="U111" i="7"/>
  <c r="W111" i="7" s="1"/>
  <c r="L111" i="7"/>
  <c r="U110" i="7"/>
  <c r="W110" i="7" s="1"/>
  <c r="L110" i="7"/>
  <c r="U109" i="7"/>
  <c r="W109" i="7" s="1"/>
  <c r="L109" i="7"/>
  <c r="U108" i="7"/>
  <c r="W108" i="7" s="1"/>
  <c r="L108" i="7"/>
  <c r="U107" i="7"/>
  <c r="W107" i="7" s="1"/>
  <c r="L107" i="7"/>
  <c r="U106" i="7"/>
  <c r="W106" i="7" s="1"/>
  <c r="L106" i="7"/>
  <c r="U105" i="7"/>
  <c r="W105" i="7" s="1"/>
  <c r="L105" i="7"/>
  <c r="U104" i="7"/>
  <c r="W104" i="7" s="1"/>
  <c r="L104" i="7"/>
  <c r="U103" i="7"/>
  <c r="W103" i="7" s="1"/>
  <c r="L103" i="7"/>
  <c r="U102" i="7"/>
  <c r="W102" i="7" s="1"/>
  <c r="L102" i="7"/>
  <c r="U101" i="7"/>
  <c r="W101" i="7" s="1"/>
  <c r="L101" i="7"/>
  <c r="U100" i="7"/>
  <c r="W100" i="7" s="1"/>
  <c r="L100" i="7"/>
  <c r="U99" i="7"/>
  <c r="W99" i="7" s="1"/>
  <c r="L99" i="7"/>
  <c r="U98" i="7"/>
  <c r="W98" i="7" s="1"/>
  <c r="L98" i="7"/>
  <c r="U97" i="7"/>
  <c r="W97" i="7" s="1"/>
  <c r="L97" i="7"/>
  <c r="U96" i="7"/>
  <c r="W96" i="7" s="1"/>
  <c r="L96" i="7"/>
  <c r="U95" i="7"/>
  <c r="W95" i="7" s="1"/>
  <c r="L95" i="7"/>
  <c r="U94" i="7"/>
  <c r="W94" i="7" s="1"/>
  <c r="L94" i="7"/>
  <c r="U93" i="7"/>
  <c r="W93" i="7" s="1"/>
  <c r="L93" i="7"/>
  <c r="U92" i="7"/>
  <c r="W92" i="7" s="1"/>
  <c r="L92" i="7"/>
  <c r="U91" i="7"/>
  <c r="W91" i="7" s="1"/>
  <c r="L91" i="7"/>
  <c r="U90" i="7"/>
  <c r="W90" i="7" s="1"/>
  <c r="L90" i="7"/>
  <c r="U89" i="7"/>
  <c r="W89" i="7" s="1"/>
  <c r="L89" i="7"/>
  <c r="U88" i="7"/>
  <c r="W88" i="7" s="1"/>
  <c r="L88" i="7"/>
  <c r="U87" i="7"/>
  <c r="W87" i="7" s="1"/>
  <c r="L87" i="7"/>
  <c r="U86" i="7"/>
  <c r="W86" i="7" s="1"/>
  <c r="L86" i="7"/>
  <c r="U85" i="7"/>
  <c r="W85" i="7" s="1"/>
  <c r="L85" i="7"/>
  <c r="U84" i="7"/>
  <c r="W84" i="7" s="1"/>
  <c r="L84" i="7"/>
  <c r="U83" i="7"/>
  <c r="W83" i="7" s="1"/>
  <c r="L83" i="7"/>
  <c r="U82" i="7"/>
  <c r="W82" i="7" s="1"/>
  <c r="L82" i="7"/>
  <c r="U81" i="7"/>
  <c r="W81" i="7" s="1"/>
  <c r="L81" i="7"/>
  <c r="U80" i="7"/>
  <c r="W80" i="7" s="1"/>
  <c r="L80" i="7"/>
  <c r="U79" i="7"/>
  <c r="W79" i="7" s="1"/>
  <c r="L79" i="7"/>
  <c r="U78" i="7"/>
  <c r="W78" i="7" s="1"/>
  <c r="L78" i="7"/>
  <c r="U77" i="7"/>
  <c r="W77" i="7" s="1"/>
  <c r="L77" i="7"/>
  <c r="U76" i="7"/>
  <c r="W76" i="7" s="1"/>
  <c r="L76" i="7"/>
  <c r="U75" i="7"/>
  <c r="W75" i="7" s="1"/>
  <c r="L75" i="7"/>
  <c r="U74" i="7"/>
  <c r="W74" i="7" s="1"/>
  <c r="L74" i="7"/>
  <c r="U73" i="7"/>
  <c r="W73" i="7" s="1"/>
  <c r="L73" i="7"/>
  <c r="U72" i="7"/>
  <c r="W72" i="7" s="1"/>
  <c r="L72" i="7"/>
  <c r="U71" i="7"/>
  <c r="W71" i="7" s="1"/>
  <c r="L71" i="7"/>
  <c r="U70" i="7"/>
  <c r="W70" i="7" s="1"/>
  <c r="L70" i="7"/>
  <c r="U69" i="7"/>
  <c r="W69" i="7" s="1"/>
  <c r="L69" i="7"/>
  <c r="U68" i="7"/>
  <c r="W68" i="7" s="1"/>
  <c r="L68" i="7"/>
  <c r="U67" i="7"/>
  <c r="W67" i="7" s="1"/>
  <c r="L67" i="7"/>
  <c r="U66" i="7"/>
  <c r="W66" i="7" s="1"/>
  <c r="L66" i="7"/>
  <c r="U65" i="7"/>
  <c r="W65" i="7" s="1"/>
  <c r="L65" i="7"/>
  <c r="U64" i="7"/>
  <c r="W64" i="7" s="1"/>
  <c r="L64" i="7"/>
  <c r="U63" i="7"/>
  <c r="W63" i="7" s="1"/>
  <c r="L63" i="7"/>
  <c r="U62" i="7"/>
  <c r="W62" i="7" s="1"/>
  <c r="L62" i="7"/>
  <c r="U61" i="7"/>
  <c r="W61" i="7" s="1"/>
  <c r="L61" i="7"/>
  <c r="U60" i="7"/>
  <c r="W60" i="7" s="1"/>
  <c r="L60" i="7"/>
  <c r="U59" i="7"/>
  <c r="W59" i="7" s="1"/>
  <c r="L59" i="7"/>
  <c r="U58" i="7"/>
  <c r="W58" i="7" s="1"/>
  <c r="L58" i="7"/>
  <c r="U57" i="7"/>
  <c r="W57" i="7" s="1"/>
  <c r="L57" i="7"/>
  <c r="U56" i="7"/>
  <c r="W56" i="7" s="1"/>
  <c r="L56" i="7"/>
  <c r="U55" i="7"/>
  <c r="W55" i="7" s="1"/>
  <c r="L55" i="7"/>
  <c r="U54" i="7"/>
  <c r="W54" i="7" s="1"/>
  <c r="L54" i="7"/>
  <c r="U53" i="7"/>
  <c r="W53" i="7" s="1"/>
  <c r="L53" i="7"/>
  <c r="U52" i="7"/>
  <c r="W52" i="7" s="1"/>
  <c r="L52" i="7"/>
  <c r="U51" i="7"/>
  <c r="W51" i="7" s="1"/>
  <c r="L51" i="7"/>
  <c r="U50" i="7"/>
  <c r="W50" i="7" s="1"/>
  <c r="L50" i="7"/>
  <c r="U49" i="7"/>
  <c r="W49" i="7" s="1"/>
  <c r="L49" i="7"/>
  <c r="U48" i="7"/>
  <c r="W48" i="7" s="1"/>
  <c r="L48" i="7"/>
  <c r="U47" i="7"/>
  <c r="W47" i="7" s="1"/>
  <c r="L47" i="7"/>
  <c r="U46" i="7"/>
  <c r="W46" i="7" s="1"/>
  <c r="L46" i="7"/>
  <c r="U45" i="7"/>
  <c r="W45" i="7" s="1"/>
  <c r="L45" i="7"/>
  <c r="U44" i="7"/>
  <c r="W44" i="7" s="1"/>
  <c r="L44" i="7"/>
  <c r="U43" i="7"/>
  <c r="W43" i="7" s="1"/>
  <c r="L43" i="7"/>
  <c r="U42" i="7"/>
  <c r="W42" i="7" s="1"/>
  <c r="L42" i="7"/>
  <c r="U41" i="7"/>
  <c r="W41" i="7" s="1"/>
  <c r="L41" i="7"/>
  <c r="U40" i="7"/>
  <c r="W40" i="7" s="1"/>
  <c r="L40" i="7"/>
  <c r="U39" i="7"/>
  <c r="W39" i="7" s="1"/>
  <c r="L39" i="7"/>
  <c r="U38" i="7"/>
  <c r="W38" i="7" s="1"/>
  <c r="L38" i="7"/>
  <c r="U37" i="7"/>
  <c r="W37" i="7" s="1"/>
  <c r="L37" i="7"/>
  <c r="U36" i="7"/>
  <c r="W36" i="7" s="1"/>
  <c r="L36" i="7"/>
  <c r="U35" i="7"/>
  <c r="W35" i="7" s="1"/>
  <c r="L35" i="7"/>
  <c r="U34" i="7"/>
  <c r="W34" i="7" s="1"/>
  <c r="L34" i="7"/>
  <c r="U33" i="7"/>
  <c r="W33" i="7" s="1"/>
  <c r="L33" i="7"/>
  <c r="U32" i="7"/>
  <c r="W32" i="7" s="1"/>
  <c r="L32" i="7"/>
  <c r="U31" i="7"/>
  <c r="W31" i="7" s="1"/>
  <c r="L31" i="7"/>
  <c r="U30" i="7"/>
  <c r="W30" i="7" s="1"/>
  <c r="L30" i="7"/>
  <c r="U29" i="7"/>
  <c r="W29" i="7" s="1"/>
  <c r="L29" i="7"/>
  <c r="U28" i="7"/>
  <c r="W28" i="7" s="1"/>
  <c r="L28" i="7"/>
  <c r="U27" i="7"/>
  <c r="W27" i="7" s="1"/>
  <c r="L27" i="7"/>
  <c r="U26" i="7"/>
  <c r="W26" i="7" s="1"/>
  <c r="L26" i="7"/>
  <c r="U25" i="7"/>
  <c r="W25" i="7" s="1"/>
  <c r="L25" i="7"/>
  <c r="U24" i="7"/>
  <c r="W24" i="7" s="1"/>
  <c r="L24" i="7"/>
  <c r="U23" i="7"/>
  <c r="W23" i="7" s="1"/>
  <c r="L23" i="7"/>
  <c r="U22" i="7"/>
  <c r="W22" i="7" s="1"/>
  <c r="L22" i="7"/>
  <c r="U21" i="7"/>
  <c r="W21" i="7" s="1"/>
  <c r="L21" i="7"/>
  <c r="U20" i="7"/>
  <c r="W20" i="7" s="1"/>
  <c r="L20" i="7"/>
  <c r="U19" i="7"/>
  <c r="W19" i="7" s="1"/>
  <c r="L19" i="7"/>
  <c r="U18" i="7"/>
  <c r="W18" i="7" s="1"/>
  <c r="L18" i="7"/>
  <c r="U17" i="7"/>
  <c r="W17" i="7" s="1"/>
  <c r="L17" i="7"/>
  <c r="U16" i="7"/>
  <c r="W16" i="7" s="1"/>
  <c r="L16" i="7"/>
  <c r="U15" i="7"/>
  <c r="W15" i="7" s="1"/>
  <c r="L15" i="7"/>
  <c r="U14" i="7"/>
  <c r="W14" i="7" s="1"/>
  <c r="L14" i="7"/>
  <c r="U13" i="7"/>
  <c r="W13" i="7" s="1"/>
  <c r="L13" i="7"/>
  <c r="U12" i="7"/>
  <c r="W12" i="7" s="1"/>
  <c r="L12" i="7"/>
  <c r="U11" i="7"/>
  <c r="W11" i="7" s="1"/>
  <c r="L11" i="7"/>
  <c r="U10" i="7"/>
  <c r="W10" i="7" s="1"/>
  <c r="L10" i="7"/>
  <c r="U9" i="7"/>
  <c r="W9" i="7" s="1"/>
  <c r="L9" i="7"/>
  <c r="U8" i="7"/>
  <c r="W8" i="7" s="1"/>
  <c r="L8" i="7"/>
  <c r="U7" i="7"/>
  <c r="W7" i="7" s="1"/>
  <c r="L7" i="7"/>
  <c r="U6" i="7"/>
  <c r="W6" i="7" s="1"/>
  <c r="L6" i="7"/>
  <c r="U5" i="7"/>
  <c r="W5" i="7" s="1"/>
  <c r="L5" i="7"/>
  <c r="U4" i="7"/>
  <c r="W4" i="7" s="1"/>
  <c r="L4" i="7"/>
  <c r="U3" i="7"/>
  <c r="W3" i="7" s="1"/>
  <c r="L3" i="7"/>
  <c r="U2" i="7"/>
  <c r="W2" i="7" s="1"/>
  <c r="L2" i="7"/>
  <c r="E173" i="3"/>
  <c r="E176" i="3"/>
  <c r="E179" i="3"/>
  <c r="E170" i="3"/>
  <c r="E167" i="3"/>
  <c r="E164" i="3"/>
  <c r="E161" i="3"/>
  <c r="E158" i="3"/>
  <c r="E155" i="3"/>
  <c r="E95" i="3"/>
  <c r="E92" i="3"/>
  <c r="E113" i="3"/>
  <c r="E110" i="3"/>
  <c r="E107" i="3"/>
  <c r="E104" i="3"/>
  <c r="E101" i="3"/>
  <c r="E98" i="3"/>
  <c r="E125" i="3"/>
  <c r="E128" i="3"/>
  <c r="E143" i="3"/>
  <c r="E152" i="3"/>
  <c r="E137" i="3"/>
  <c r="E62" i="3"/>
  <c r="E89" i="3"/>
  <c r="E86" i="3"/>
  <c r="E83" i="3"/>
  <c r="E80" i="3"/>
  <c r="E77" i="3"/>
  <c r="E74" i="3"/>
  <c r="E71" i="3"/>
  <c r="E68" i="3"/>
  <c r="E140" i="3"/>
  <c r="E65" i="3"/>
  <c r="E131" i="3"/>
  <c r="E146" i="3"/>
  <c r="E116" i="3"/>
  <c r="E59" i="3"/>
  <c r="E119" i="3"/>
  <c r="E56" i="3"/>
  <c r="E53" i="3"/>
  <c r="E50" i="3"/>
  <c r="E41" i="3"/>
  <c r="E38" i="3"/>
  <c r="E35" i="3"/>
  <c r="E32" i="3"/>
  <c r="E20" i="3"/>
  <c r="E29" i="3"/>
  <c r="E26" i="3"/>
  <c r="E23" i="3"/>
  <c r="E44" i="3"/>
  <c r="E47" i="3"/>
  <c r="E17" i="3"/>
  <c r="E14" i="3"/>
  <c r="E11" i="3"/>
  <c r="E8" i="3"/>
  <c r="E5" i="3"/>
  <c r="E2" i="3"/>
  <c r="E181" i="3"/>
  <c r="E180" i="3"/>
  <c r="E178" i="3"/>
  <c r="E177" i="3"/>
  <c r="E175" i="3"/>
  <c r="E174" i="3"/>
  <c r="E172" i="3"/>
  <c r="E171" i="3"/>
  <c r="E169" i="3"/>
  <c r="E168" i="3"/>
  <c r="E166" i="3"/>
  <c r="E165" i="3"/>
  <c r="E163" i="3"/>
  <c r="E162" i="3"/>
  <c r="E160" i="3"/>
  <c r="E159" i="3"/>
  <c r="E157" i="3"/>
  <c r="E156" i="3"/>
  <c r="E154" i="3"/>
  <c r="E153" i="3"/>
  <c r="E150" i="3"/>
  <c r="E148" i="3"/>
  <c r="E147" i="3"/>
  <c r="E145" i="3"/>
  <c r="E144" i="3"/>
  <c r="E142" i="3"/>
  <c r="E141" i="3"/>
  <c r="E139" i="3"/>
  <c r="E138" i="3"/>
  <c r="E133" i="3"/>
  <c r="E132" i="3"/>
  <c r="E130" i="3"/>
  <c r="E129" i="3"/>
  <c r="E127" i="3"/>
  <c r="E126" i="3"/>
  <c r="E121" i="3"/>
  <c r="E120" i="3"/>
  <c r="E118" i="3"/>
  <c r="E117" i="3"/>
  <c r="E115" i="3"/>
  <c r="E114" i="3"/>
  <c r="E112" i="3"/>
  <c r="E111" i="3"/>
  <c r="E106" i="3"/>
  <c r="E105" i="3"/>
  <c r="E103" i="3"/>
  <c r="E102" i="3"/>
  <c r="E100" i="3"/>
  <c r="E99" i="3"/>
  <c r="E97" i="3"/>
  <c r="E96" i="3"/>
  <c r="E94" i="3"/>
  <c r="E93" i="3"/>
  <c r="E91" i="3"/>
  <c r="E90" i="3"/>
  <c r="E88" i="3"/>
  <c r="E87" i="3"/>
  <c r="E85" i="3"/>
  <c r="E84" i="3"/>
  <c r="E82" i="3"/>
  <c r="E81" i="3"/>
  <c r="E79" i="3"/>
  <c r="E78" i="3"/>
  <c r="E76" i="3"/>
  <c r="E75" i="3"/>
  <c r="E73" i="3"/>
  <c r="E72" i="3"/>
  <c r="E70" i="3"/>
  <c r="E69" i="3"/>
  <c r="E67" i="3"/>
  <c r="E66" i="3"/>
  <c r="E64" i="3"/>
  <c r="E63" i="3"/>
  <c r="E61" i="3"/>
  <c r="E60" i="3"/>
  <c r="E58" i="3"/>
  <c r="E57" i="3"/>
  <c r="E55" i="3"/>
  <c r="E54" i="3"/>
  <c r="E52" i="3"/>
  <c r="E51" i="3"/>
  <c r="E49" i="3"/>
  <c r="E48" i="3"/>
  <c r="E46" i="3"/>
  <c r="E45" i="3"/>
  <c r="E43" i="3"/>
  <c r="E42" i="3"/>
  <c r="E40" i="3"/>
  <c r="E39" i="3"/>
  <c r="E37" i="3"/>
  <c r="E36" i="3"/>
  <c r="E34" i="3"/>
  <c r="E33" i="3"/>
  <c r="E31" i="3"/>
  <c r="E30" i="3"/>
  <c r="E28" i="3"/>
  <c r="E27" i="3"/>
  <c r="E25" i="3"/>
  <c r="E24" i="3"/>
  <c r="E22" i="3"/>
  <c r="E21" i="3"/>
  <c r="E19" i="3"/>
  <c r="E18" i="3"/>
  <c r="E16" i="3"/>
  <c r="E15" i="3"/>
  <c r="E13" i="3"/>
  <c r="E12" i="3"/>
  <c r="E10" i="3"/>
  <c r="E9" i="3"/>
  <c r="E7" i="3"/>
  <c r="E6" i="3"/>
  <c r="E4" i="3"/>
  <c r="E3" i="3"/>
  <c r="H2" i="7"/>
  <c r="V2" i="7" s="1"/>
  <c r="Y2" i="7" s="1"/>
  <c r="H3" i="7"/>
  <c r="V3" i="7" s="1"/>
  <c r="Y3" i="7" s="1"/>
  <c r="H4" i="7"/>
  <c r="V4" i="7" s="1"/>
  <c r="Y4" i="7" s="1"/>
  <c r="H5" i="7"/>
  <c r="V5" i="7" s="1"/>
  <c r="Y5" i="7" s="1"/>
  <c r="H6" i="7"/>
  <c r="V6" i="7" s="1"/>
  <c r="Y6" i="7" s="1"/>
  <c r="H7" i="7"/>
  <c r="V7" i="7" s="1"/>
  <c r="Y7" i="7" s="1"/>
  <c r="H8" i="7"/>
  <c r="V8" i="7" s="1"/>
  <c r="Y8" i="7" s="1"/>
  <c r="H9" i="7"/>
  <c r="V9" i="7" s="1"/>
  <c r="Y9" i="7" s="1"/>
  <c r="H10" i="7"/>
  <c r="V10" i="7" s="1"/>
  <c r="Y10" i="7" s="1"/>
  <c r="H11" i="7"/>
  <c r="V11" i="7" s="1"/>
  <c r="Y11" i="7" s="1"/>
  <c r="H12" i="7"/>
  <c r="V12" i="7" s="1"/>
  <c r="Y12" i="7" s="1"/>
  <c r="H13" i="7"/>
  <c r="V13" i="7" s="1"/>
  <c r="Y13" i="7" s="1"/>
  <c r="H14" i="7"/>
  <c r="V14" i="7" s="1"/>
  <c r="Y14" i="7" s="1"/>
  <c r="H15" i="7"/>
  <c r="V15" i="7" s="1"/>
  <c r="Y15" i="7" s="1"/>
  <c r="H16" i="7"/>
  <c r="V16" i="7" s="1"/>
  <c r="Y16" i="7" s="1"/>
  <c r="H17" i="7"/>
  <c r="V17" i="7" s="1"/>
  <c r="Y17" i="7" s="1"/>
  <c r="H18" i="7"/>
  <c r="V18" i="7" s="1"/>
  <c r="Y18" i="7" s="1"/>
  <c r="H19" i="7"/>
  <c r="V19" i="7" s="1"/>
  <c r="Y19" i="7" s="1"/>
  <c r="H20" i="7"/>
  <c r="V20" i="7" s="1"/>
  <c r="Y20" i="7" s="1"/>
  <c r="H21" i="7"/>
  <c r="V21" i="7" s="1"/>
  <c r="Y21" i="7" s="1"/>
  <c r="H22" i="7"/>
  <c r="V22" i="7" s="1"/>
  <c r="Y22" i="7" s="1"/>
  <c r="H23" i="7"/>
  <c r="V23" i="7" s="1"/>
  <c r="Y23" i="7" s="1"/>
  <c r="H24" i="7"/>
  <c r="V24" i="7" s="1"/>
  <c r="Y24" i="7" s="1"/>
  <c r="H25" i="7"/>
  <c r="V25" i="7" s="1"/>
  <c r="Y25" i="7" s="1"/>
  <c r="H26" i="7"/>
  <c r="V26" i="7" s="1"/>
  <c r="Y26" i="7" s="1"/>
  <c r="H27" i="7"/>
  <c r="V27" i="7" s="1"/>
  <c r="Y27" i="7" s="1"/>
  <c r="H28" i="7"/>
  <c r="V28" i="7" s="1"/>
  <c r="Y28" i="7" s="1"/>
  <c r="H29" i="7"/>
  <c r="V29" i="7" s="1"/>
  <c r="Y29" i="7" s="1"/>
  <c r="H30" i="7"/>
  <c r="V30" i="7" s="1"/>
  <c r="Y30" i="7" s="1"/>
  <c r="H31" i="7"/>
  <c r="V31" i="7" s="1"/>
  <c r="Y31" i="7" s="1"/>
  <c r="H32" i="7"/>
  <c r="V32" i="7" s="1"/>
  <c r="Y32" i="7" s="1"/>
  <c r="H33" i="7"/>
  <c r="V33" i="7" s="1"/>
  <c r="Y33" i="7" s="1"/>
  <c r="H34" i="7"/>
  <c r="V34" i="7" s="1"/>
  <c r="Y34" i="7" s="1"/>
  <c r="H35" i="7"/>
  <c r="V35" i="7" s="1"/>
  <c r="Y35" i="7" s="1"/>
  <c r="H36" i="7"/>
  <c r="V36" i="7" s="1"/>
  <c r="Y36" i="7" s="1"/>
  <c r="H37" i="7"/>
  <c r="V37" i="7" s="1"/>
  <c r="Y37" i="7" s="1"/>
  <c r="H38" i="7"/>
  <c r="V38" i="7" s="1"/>
  <c r="Y38" i="7" s="1"/>
  <c r="H39" i="7"/>
  <c r="V39" i="7" s="1"/>
  <c r="Y39" i="7" s="1"/>
  <c r="H40" i="7"/>
  <c r="V40" i="7" s="1"/>
  <c r="Y40" i="7" s="1"/>
  <c r="H41" i="7"/>
  <c r="V41" i="7" s="1"/>
  <c r="Y41" i="7" s="1"/>
  <c r="H42" i="7"/>
  <c r="V42" i="7" s="1"/>
  <c r="Y42" i="7" s="1"/>
  <c r="H43" i="7"/>
  <c r="V43" i="7" s="1"/>
  <c r="Y43" i="7" s="1"/>
  <c r="H44" i="7"/>
  <c r="V44" i="7" s="1"/>
  <c r="Y44" i="7" s="1"/>
  <c r="H45" i="7"/>
  <c r="V45" i="7" s="1"/>
  <c r="Y45" i="7" s="1"/>
  <c r="H46" i="7"/>
  <c r="V46" i="7" s="1"/>
  <c r="Y46" i="7" s="1"/>
  <c r="H47" i="7"/>
  <c r="V47" i="7" s="1"/>
  <c r="Y47" i="7" s="1"/>
  <c r="H48" i="7"/>
  <c r="V48" i="7" s="1"/>
  <c r="Y48" i="7" s="1"/>
  <c r="H49" i="7"/>
  <c r="V49" i="7" s="1"/>
  <c r="Y49" i="7" s="1"/>
  <c r="H50" i="7"/>
  <c r="V50" i="7" s="1"/>
  <c r="Y50" i="7" s="1"/>
  <c r="H51" i="7"/>
  <c r="V51" i="7" s="1"/>
  <c r="Y51" i="7" s="1"/>
  <c r="H52" i="7"/>
  <c r="V52" i="7" s="1"/>
  <c r="Y52" i="7" s="1"/>
  <c r="H53" i="7"/>
  <c r="V53" i="7" s="1"/>
  <c r="Y53" i="7" s="1"/>
  <c r="H54" i="7"/>
  <c r="V54" i="7" s="1"/>
  <c r="Y54" i="7" s="1"/>
  <c r="H55" i="7"/>
  <c r="V55" i="7" s="1"/>
  <c r="Y55" i="7" s="1"/>
  <c r="H56" i="7"/>
  <c r="V56" i="7" s="1"/>
  <c r="Y56" i="7" s="1"/>
  <c r="H57" i="7"/>
  <c r="V57" i="7" s="1"/>
  <c r="Y57" i="7" s="1"/>
  <c r="H58" i="7"/>
  <c r="V58" i="7" s="1"/>
  <c r="Y58" i="7" s="1"/>
  <c r="H59" i="7"/>
  <c r="V59" i="7" s="1"/>
  <c r="Y59" i="7" s="1"/>
  <c r="H60" i="7"/>
  <c r="V60" i="7" s="1"/>
  <c r="Y60" i="7" s="1"/>
  <c r="H61" i="7"/>
  <c r="V61" i="7" s="1"/>
  <c r="Y61" i="7" s="1"/>
  <c r="H62" i="7"/>
  <c r="V62" i="7" s="1"/>
  <c r="Y62" i="7" s="1"/>
  <c r="H63" i="7"/>
  <c r="V63" i="7" s="1"/>
  <c r="Y63" i="7" s="1"/>
  <c r="H64" i="7"/>
  <c r="V64" i="7" s="1"/>
  <c r="Y64" i="7" s="1"/>
  <c r="H65" i="7"/>
  <c r="V65" i="7" s="1"/>
  <c r="Y65" i="7" s="1"/>
  <c r="H66" i="7"/>
  <c r="V66" i="7" s="1"/>
  <c r="Y66" i="7" s="1"/>
  <c r="H67" i="7"/>
  <c r="V67" i="7" s="1"/>
  <c r="Y67" i="7" s="1"/>
  <c r="H68" i="7"/>
  <c r="V68" i="7" s="1"/>
  <c r="Y68" i="7" s="1"/>
  <c r="H69" i="7"/>
  <c r="V69" i="7" s="1"/>
  <c r="Y69" i="7" s="1"/>
  <c r="H70" i="7"/>
  <c r="V70" i="7" s="1"/>
  <c r="Y70" i="7" s="1"/>
  <c r="H71" i="7"/>
  <c r="V71" i="7" s="1"/>
  <c r="Y71" i="7" s="1"/>
  <c r="H72" i="7"/>
  <c r="V72" i="7" s="1"/>
  <c r="Y72" i="7" s="1"/>
  <c r="H73" i="7"/>
  <c r="V73" i="7" s="1"/>
  <c r="Y73" i="7" s="1"/>
  <c r="H74" i="7"/>
  <c r="V74" i="7" s="1"/>
  <c r="Y74" i="7" s="1"/>
  <c r="H75" i="7"/>
  <c r="V75" i="7" s="1"/>
  <c r="Y75" i="7" s="1"/>
  <c r="H76" i="7"/>
  <c r="V76" i="7" s="1"/>
  <c r="Y76" i="7" s="1"/>
  <c r="H77" i="7"/>
  <c r="V77" i="7" s="1"/>
  <c r="Y77" i="7" s="1"/>
  <c r="H78" i="7"/>
  <c r="V78" i="7" s="1"/>
  <c r="Y78" i="7" s="1"/>
  <c r="H79" i="7"/>
  <c r="V79" i="7" s="1"/>
  <c r="Y79" i="7" s="1"/>
  <c r="H80" i="7"/>
  <c r="V80" i="7" s="1"/>
  <c r="Y80" i="7" s="1"/>
  <c r="H81" i="7"/>
  <c r="V81" i="7" s="1"/>
  <c r="Y81" i="7" s="1"/>
  <c r="H82" i="7"/>
  <c r="V82" i="7" s="1"/>
  <c r="Y82" i="7" s="1"/>
  <c r="H83" i="7"/>
  <c r="V83" i="7" s="1"/>
  <c r="Y83" i="7" s="1"/>
  <c r="H84" i="7"/>
  <c r="V84" i="7" s="1"/>
  <c r="Y84" i="7" s="1"/>
  <c r="H85" i="7"/>
  <c r="V85" i="7" s="1"/>
  <c r="Y85" i="7" s="1"/>
  <c r="H86" i="7"/>
  <c r="V86" i="7" s="1"/>
  <c r="Y86" i="7" s="1"/>
  <c r="H87" i="7"/>
  <c r="V87" i="7" s="1"/>
  <c r="Y87" i="7" s="1"/>
  <c r="H88" i="7"/>
  <c r="V88" i="7" s="1"/>
  <c r="Y88" i="7" s="1"/>
  <c r="H89" i="7"/>
  <c r="V89" i="7" s="1"/>
  <c r="Y89" i="7" s="1"/>
  <c r="H90" i="7"/>
  <c r="V90" i="7" s="1"/>
  <c r="Y90" i="7" s="1"/>
  <c r="H91" i="7"/>
  <c r="V91" i="7" s="1"/>
  <c r="Y91" i="7" s="1"/>
  <c r="H92" i="7"/>
  <c r="V92" i="7" s="1"/>
  <c r="Y92" i="7" s="1"/>
  <c r="H93" i="7"/>
  <c r="V93" i="7" s="1"/>
  <c r="Y93" i="7" s="1"/>
  <c r="H94" i="7"/>
  <c r="V94" i="7" s="1"/>
  <c r="Y94" i="7" s="1"/>
  <c r="H95" i="7"/>
  <c r="V95" i="7" s="1"/>
  <c r="Y95" i="7" s="1"/>
  <c r="H96" i="7"/>
  <c r="V96" i="7" s="1"/>
  <c r="Y96" i="7" s="1"/>
  <c r="H97" i="7"/>
  <c r="V97" i="7" s="1"/>
  <c r="Y97" i="7" s="1"/>
  <c r="H98" i="7"/>
  <c r="V98" i="7" s="1"/>
  <c r="Y98" i="7" s="1"/>
  <c r="H99" i="7"/>
  <c r="V99" i="7" s="1"/>
  <c r="Y99" i="7" s="1"/>
  <c r="H100" i="7"/>
  <c r="V100" i="7" s="1"/>
  <c r="Y100" i="7" s="1"/>
  <c r="H101" i="7"/>
  <c r="V101" i="7" s="1"/>
  <c r="Y101" i="7" s="1"/>
  <c r="H102" i="7"/>
  <c r="V102" i="7" s="1"/>
  <c r="Y102" i="7" s="1"/>
  <c r="H103" i="7"/>
  <c r="V103" i="7" s="1"/>
  <c r="Y103" i="7" s="1"/>
  <c r="H104" i="7"/>
  <c r="V104" i="7" s="1"/>
  <c r="Y104" i="7" s="1"/>
  <c r="H105" i="7"/>
  <c r="V105" i="7" s="1"/>
  <c r="Y105" i="7" s="1"/>
  <c r="H106" i="7"/>
  <c r="V106" i="7" s="1"/>
  <c r="Y106" i="7" s="1"/>
  <c r="H107" i="7"/>
  <c r="V107" i="7" s="1"/>
  <c r="Y107" i="7" s="1"/>
  <c r="H108" i="7"/>
  <c r="V108" i="7" s="1"/>
  <c r="Y108" i="7" s="1"/>
  <c r="H109" i="7"/>
  <c r="V109" i="7" s="1"/>
  <c r="Y109" i="7" s="1"/>
  <c r="H110" i="7"/>
  <c r="V110" i="7" s="1"/>
  <c r="Y110" i="7" s="1"/>
  <c r="H111" i="7"/>
  <c r="V111" i="7" s="1"/>
  <c r="Y111" i="7" s="1"/>
  <c r="H112" i="7"/>
  <c r="V112" i="7" s="1"/>
  <c r="Y112" i="7" s="1"/>
  <c r="H113" i="7"/>
  <c r="V113" i="7" s="1"/>
  <c r="Y113" i="7" s="1"/>
  <c r="H114" i="7"/>
  <c r="V114" i="7" s="1"/>
  <c r="Y114" i="7" s="1"/>
  <c r="H115" i="7"/>
  <c r="V115" i="7" s="1"/>
  <c r="Y115" i="7" s="1"/>
  <c r="H116" i="7"/>
  <c r="V116" i="7" s="1"/>
  <c r="Y116" i="7" s="1"/>
  <c r="H117" i="7"/>
  <c r="V117" i="7" s="1"/>
  <c r="Y117" i="7" s="1"/>
  <c r="H118" i="7"/>
  <c r="V118" i="7" s="1"/>
  <c r="Y118" i="7" s="1"/>
  <c r="H119" i="7"/>
  <c r="V119" i="7" s="1"/>
  <c r="Y119" i="7" s="1"/>
  <c r="H120" i="7"/>
  <c r="V120" i="7" s="1"/>
  <c r="Y120" i="7" s="1"/>
  <c r="H121" i="7"/>
  <c r="V121" i="7" s="1"/>
  <c r="Y121" i="7" s="1"/>
  <c r="H122" i="7"/>
  <c r="V122" i="7" s="1"/>
  <c r="Y122" i="7" s="1"/>
  <c r="H123" i="7"/>
  <c r="V123" i="7" s="1"/>
  <c r="Y123" i="7" s="1"/>
  <c r="H124" i="7"/>
  <c r="V124" i="7" s="1"/>
  <c r="Y124" i="7" s="1"/>
  <c r="H125" i="7"/>
  <c r="V125" i="7" s="1"/>
  <c r="Y125" i="7" s="1"/>
  <c r="H126" i="7"/>
  <c r="V126" i="7" s="1"/>
  <c r="Y126" i="7" s="1"/>
  <c r="H127" i="7"/>
  <c r="V127" i="7" s="1"/>
  <c r="Y127" i="7" s="1"/>
  <c r="H128" i="7"/>
  <c r="V128" i="7" s="1"/>
  <c r="Y128" i="7" s="1"/>
  <c r="H129" i="7"/>
  <c r="V129" i="7" s="1"/>
  <c r="Y129" i="7" s="1"/>
  <c r="H130" i="7"/>
  <c r="V130" i="7" s="1"/>
  <c r="Y130" i="7" s="1"/>
  <c r="H131" i="7"/>
  <c r="V131" i="7" s="1"/>
  <c r="Y131" i="7" s="1"/>
  <c r="H132" i="7"/>
  <c r="V132" i="7" s="1"/>
  <c r="Y132" i="7" s="1"/>
  <c r="H133" i="7"/>
  <c r="V133" i="7" s="1"/>
  <c r="Y133" i="7" s="1"/>
  <c r="H134" i="7"/>
  <c r="V134" i="7" s="1"/>
  <c r="Y134" i="7" s="1"/>
  <c r="H135" i="7"/>
  <c r="V135" i="7" s="1"/>
  <c r="Y135" i="7" s="1"/>
  <c r="H136" i="7"/>
  <c r="V136" i="7" s="1"/>
  <c r="Y136" i="7" s="1"/>
  <c r="H137" i="7"/>
  <c r="V137" i="7" s="1"/>
  <c r="Y137" i="7" s="1"/>
  <c r="H138" i="7"/>
  <c r="V138" i="7" s="1"/>
  <c r="Y138" i="7" s="1"/>
  <c r="H139" i="7"/>
  <c r="V139" i="7" s="1"/>
  <c r="Y139" i="7" s="1"/>
  <c r="H140" i="7"/>
  <c r="V140" i="7" s="1"/>
  <c r="Y140" i="7" s="1"/>
  <c r="H141" i="7"/>
  <c r="V141" i="7" s="1"/>
  <c r="Y141" i="7" s="1"/>
  <c r="H142" i="7"/>
  <c r="V142" i="7" s="1"/>
  <c r="Y142" i="7" s="1"/>
  <c r="H143" i="7"/>
  <c r="V143" i="7" s="1"/>
  <c r="Y143" i="7" s="1"/>
  <c r="H144" i="7"/>
  <c r="V144" i="7" s="1"/>
  <c r="Y144" i="7" s="1"/>
  <c r="H145" i="7"/>
  <c r="V145" i="7" s="1"/>
  <c r="Y145" i="7" s="1"/>
  <c r="H146" i="7"/>
  <c r="V146" i="7" s="1"/>
  <c r="Y146" i="7" s="1"/>
  <c r="H147" i="7"/>
  <c r="V147" i="7" s="1"/>
  <c r="Y147" i="7" s="1"/>
  <c r="H148" i="7"/>
  <c r="V148" i="7" s="1"/>
  <c r="Y148" i="7" s="1"/>
  <c r="H149" i="7"/>
  <c r="V149" i="7" s="1"/>
  <c r="Y149" i="7" s="1"/>
  <c r="H150" i="7"/>
  <c r="V150" i="7" s="1"/>
  <c r="Y150" i="7" s="1"/>
  <c r="H151" i="7"/>
  <c r="V151" i="7" s="1"/>
  <c r="Y151" i="7" s="1"/>
  <c r="H152" i="7"/>
  <c r="V152" i="7" s="1"/>
  <c r="Y152" i="7" s="1"/>
  <c r="H153" i="7"/>
  <c r="V153" i="7" s="1"/>
  <c r="Y153" i="7" s="1"/>
  <c r="H154" i="7"/>
  <c r="V154" i="7" s="1"/>
  <c r="Y154" i="7" s="1"/>
  <c r="H155" i="7"/>
  <c r="V155" i="7" s="1"/>
  <c r="Y155" i="7" s="1"/>
  <c r="H156" i="7"/>
  <c r="V156" i="7" s="1"/>
  <c r="Y156" i="7" s="1"/>
  <c r="H157" i="7"/>
  <c r="V157" i="7" s="1"/>
  <c r="Y157" i="7" s="1"/>
  <c r="H158" i="7"/>
  <c r="V158" i="7" s="1"/>
  <c r="Y158" i="7" s="1"/>
  <c r="H159" i="7"/>
  <c r="V159" i="7" s="1"/>
  <c r="Y159" i="7" s="1"/>
  <c r="H160" i="7"/>
  <c r="V160" i="7" s="1"/>
  <c r="Y160" i="7" s="1"/>
  <c r="H161" i="7"/>
  <c r="V161" i="7" s="1"/>
  <c r="Y161" i="7" s="1"/>
  <c r="H162" i="7"/>
  <c r="V162" i="7" s="1"/>
  <c r="Y162" i="7" s="1"/>
  <c r="H163" i="7"/>
  <c r="V163" i="7" s="1"/>
  <c r="Y163" i="7" s="1"/>
  <c r="H164" i="7"/>
  <c r="V164" i="7" s="1"/>
  <c r="Y164" i="7" s="1"/>
  <c r="H165" i="7"/>
  <c r="V165" i="7" s="1"/>
  <c r="Y165" i="7" s="1"/>
  <c r="H166" i="7"/>
  <c r="V166" i="7" s="1"/>
  <c r="Y166" i="7" s="1"/>
  <c r="H167" i="7"/>
  <c r="V167" i="7" s="1"/>
  <c r="Y167" i="7" s="1"/>
  <c r="H168" i="7"/>
  <c r="V168" i="7" s="1"/>
  <c r="Y168" i="7" s="1"/>
  <c r="H169" i="7"/>
  <c r="V169" i="7" s="1"/>
  <c r="Y169" i="7" s="1"/>
  <c r="H170" i="7"/>
  <c r="V170" i="7" s="1"/>
  <c r="Y170" i="7" s="1"/>
  <c r="H171" i="7"/>
  <c r="V171" i="7" s="1"/>
  <c r="Y171" i="7" s="1"/>
  <c r="H172" i="7"/>
  <c r="V172" i="7" s="1"/>
  <c r="Y172" i="7" s="1"/>
  <c r="H173" i="7"/>
  <c r="V173" i="7" s="1"/>
  <c r="Y173" i="7" s="1"/>
  <c r="H174" i="7"/>
  <c r="V174" i="7" s="1"/>
  <c r="Y174" i="7" s="1"/>
  <c r="H175" i="7"/>
  <c r="V175" i="7" s="1"/>
  <c r="Y175" i="7" s="1"/>
  <c r="H176" i="7"/>
  <c r="V176" i="7" s="1"/>
  <c r="Y176" i="7" s="1"/>
  <c r="H177" i="7"/>
  <c r="V177" i="7" s="1"/>
  <c r="Y177" i="7" s="1"/>
  <c r="H178" i="7"/>
  <c r="V178" i="7" s="1"/>
  <c r="Y178" i="7" s="1"/>
  <c r="H179" i="7"/>
  <c r="V179" i="7" s="1"/>
  <c r="Y179" i="7" s="1"/>
  <c r="H180" i="7"/>
  <c r="V180" i="7" s="1"/>
  <c r="Y180" i="7" s="1"/>
  <c r="H181" i="7"/>
  <c r="V181" i="7" s="1"/>
  <c r="Y181" i="7" s="1"/>
  <c r="H182" i="7"/>
  <c r="V182" i="7" s="1"/>
  <c r="Y182" i="7" s="1"/>
  <c r="H183" i="7"/>
  <c r="V183" i="7" s="1"/>
  <c r="Y183" i="7" s="1"/>
  <c r="H184" i="7"/>
  <c r="V184" i="7" s="1"/>
  <c r="Y184" i="7" s="1"/>
  <c r="E2" i="7" l="1"/>
  <c r="G2" i="7" s="1"/>
  <c r="Z2" i="7" s="1"/>
  <c r="E3" i="7"/>
  <c r="G3" i="7" s="1"/>
  <c r="Z3" i="7" s="1"/>
  <c r="E4" i="7"/>
  <c r="G4" i="7" s="1"/>
  <c r="Z4" i="7" s="1"/>
  <c r="E5" i="7"/>
  <c r="G5" i="7" s="1"/>
  <c r="Z5" i="7" s="1"/>
  <c r="E6" i="7"/>
  <c r="G6" i="7" s="1"/>
  <c r="Z6" i="7" s="1"/>
  <c r="E7" i="7"/>
  <c r="G7" i="7" s="1"/>
  <c r="Z7" i="7" s="1"/>
  <c r="E8" i="7"/>
  <c r="G8" i="7" s="1"/>
  <c r="Z8" i="7" s="1"/>
  <c r="E9" i="7"/>
  <c r="G9" i="7" s="1"/>
  <c r="Z9" i="7" s="1"/>
  <c r="E10" i="7"/>
  <c r="G10" i="7" s="1"/>
  <c r="Z10" i="7" s="1"/>
  <c r="E11" i="7"/>
  <c r="G11" i="7" s="1"/>
  <c r="Z11" i="7" s="1"/>
  <c r="E12" i="7"/>
  <c r="G12" i="7" s="1"/>
  <c r="Z12" i="7" s="1"/>
  <c r="E13" i="7"/>
  <c r="G13" i="7" s="1"/>
  <c r="Z13" i="7" s="1"/>
  <c r="E14" i="7"/>
  <c r="G14" i="7" s="1"/>
  <c r="Z14" i="7" s="1"/>
  <c r="E15" i="7"/>
  <c r="G15" i="7" s="1"/>
  <c r="Z15" i="7" s="1"/>
  <c r="E16" i="7"/>
  <c r="G16" i="7" s="1"/>
  <c r="Z16" i="7" s="1"/>
  <c r="E17" i="7"/>
  <c r="G17" i="7" s="1"/>
  <c r="Z17" i="7" s="1"/>
  <c r="E18" i="7"/>
  <c r="G18" i="7" s="1"/>
  <c r="Z18" i="7" s="1"/>
  <c r="E19" i="7"/>
  <c r="G19" i="7" s="1"/>
  <c r="Z19" i="7" s="1"/>
  <c r="E20" i="7"/>
  <c r="G20" i="7" s="1"/>
  <c r="Z20" i="7" s="1"/>
  <c r="E21" i="7"/>
  <c r="G21" i="7" s="1"/>
  <c r="Z21" i="7" s="1"/>
  <c r="E22" i="7"/>
  <c r="G22" i="7" s="1"/>
  <c r="Z22" i="7" s="1"/>
  <c r="E23" i="7"/>
  <c r="G23" i="7" s="1"/>
  <c r="Z23" i="7" s="1"/>
  <c r="E24" i="7"/>
  <c r="G24" i="7" s="1"/>
  <c r="Z24" i="7" s="1"/>
  <c r="E25" i="7"/>
  <c r="G25" i="7" s="1"/>
  <c r="Z25" i="7" s="1"/>
  <c r="E26" i="7"/>
  <c r="G26" i="7" s="1"/>
  <c r="Z26" i="7" s="1"/>
  <c r="E27" i="7"/>
  <c r="G27" i="7" s="1"/>
  <c r="Z27" i="7" s="1"/>
  <c r="E28" i="7"/>
  <c r="G28" i="7" s="1"/>
  <c r="Z28" i="7" s="1"/>
  <c r="E29" i="7"/>
  <c r="G29" i="7" s="1"/>
  <c r="Z29" i="7" s="1"/>
  <c r="E30" i="7"/>
  <c r="G30" i="7" s="1"/>
  <c r="Z30" i="7" s="1"/>
  <c r="E31" i="7"/>
  <c r="G31" i="7" s="1"/>
  <c r="Z31" i="7" s="1"/>
  <c r="E32" i="7"/>
  <c r="G32" i="7" s="1"/>
  <c r="Z32" i="7" s="1"/>
  <c r="E33" i="7"/>
  <c r="G33" i="7" s="1"/>
  <c r="Z33" i="7" s="1"/>
  <c r="E34" i="7"/>
  <c r="G34" i="7" s="1"/>
  <c r="Z34" i="7" s="1"/>
  <c r="E35" i="7"/>
  <c r="G35" i="7" s="1"/>
  <c r="Z35" i="7" s="1"/>
  <c r="E36" i="7"/>
  <c r="G36" i="7" s="1"/>
  <c r="Z36" i="7" s="1"/>
  <c r="E37" i="7"/>
  <c r="G37" i="7" s="1"/>
  <c r="Z37" i="7" s="1"/>
  <c r="E38" i="7"/>
  <c r="G38" i="7" s="1"/>
  <c r="Z38" i="7" s="1"/>
  <c r="E39" i="7"/>
  <c r="G39" i="7" s="1"/>
  <c r="Z39" i="7" s="1"/>
  <c r="E40" i="7"/>
  <c r="G40" i="7" s="1"/>
  <c r="Z40" i="7" s="1"/>
  <c r="E41" i="7"/>
  <c r="G41" i="7" s="1"/>
  <c r="Z41" i="7" s="1"/>
  <c r="E42" i="7"/>
  <c r="G42" i="7" s="1"/>
  <c r="Z42" i="7" s="1"/>
  <c r="E43" i="7"/>
  <c r="G43" i="7" s="1"/>
  <c r="Z43" i="7" s="1"/>
  <c r="E44" i="7"/>
  <c r="G44" i="7" s="1"/>
  <c r="Z44" i="7" s="1"/>
  <c r="E45" i="7"/>
  <c r="G45" i="7" s="1"/>
  <c r="Z45" i="7" s="1"/>
  <c r="E46" i="7"/>
  <c r="G46" i="7" s="1"/>
  <c r="Z46" i="7" s="1"/>
  <c r="E47" i="7"/>
  <c r="G47" i="7" s="1"/>
  <c r="Z47" i="7" s="1"/>
  <c r="E48" i="7"/>
  <c r="G48" i="7" s="1"/>
  <c r="Z48" i="7" s="1"/>
  <c r="E49" i="7"/>
  <c r="G49" i="7" s="1"/>
  <c r="Z49" i="7" s="1"/>
  <c r="E50" i="7"/>
  <c r="G50" i="7" s="1"/>
  <c r="Z50" i="7" s="1"/>
  <c r="E51" i="7"/>
  <c r="G51" i="7" s="1"/>
  <c r="Z51" i="7" s="1"/>
  <c r="E52" i="7"/>
  <c r="G52" i="7" s="1"/>
  <c r="Z52" i="7" s="1"/>
  <c r="E53" i="7"/>
  <c r="G53" i="7" s="1"/>
  <c r="Z53" i="7" s="1"/>
  <c r="E54" i="7"/>
  <c r="G54" i="7" s="1"/>
  <c r="Z54" i="7" s="1"/>
  <c r="E55" i="7"/>
  <c r="G55" i="7" s="1"/>
  <c r="Z55" i="7" s="1"/>
  <c r="E56" i="7"/>
  <c r="G56" i="7" s="1"/>
  <c r="Z56" i="7" s="1"/>
  <c r="E57" i="7"/>
  <c r="G57" i="7" s="1"/>
  <c r="Z57" i="7" s="1"/>
  <c r="E58" i="7"/>
  <c r="G58" i="7" s="1"/>
  <c r="Z58" i="7" s="1"/>
  <c r="E59" i="7"/>
  <c r="G59" i="7" s="1"/>
  <c r="Z59" i="7" s="1"/>
  <c r="E60" i="7"/>
  <c r="G60" i="7" s="1"/>
  <c r="Z60" i="7" s="1"/>
  <c r="E61" i="7"/>
  <c r="G61" i="7" s="1"/>
  <c r="Z61" i="7" s="1"/>
  <c r="E62" i="7"/>
  <c r="G62" i="7" s="1"/>
  <c r="Z62" i="7" s="1"/>
  <c r="E63" i="7"/>
  <c r="G63" i="7" s="1"/>
  <c r="Z63" i="7" s="1"/>
  <c r="E64" i="7"/>
  <c r="G64" i="7" s="1"/>
  <c r="Z64" i="7" s="1"/>
  <c r="E65" i="7"/>
  <c r="G65" i="7" s="1"/>
  <c r="Z65" i="7" s="1"/>
  <c r="E66" i="7"/>
  <c r="G66" i="7" s="1"/>
  <c r="Z66" i="7" s="1"/>
  <c r="E67" i="7"/>
  <c r="G67" i="7" s="1"/>
  <c r="Z67" i="7" s="1"/>
  <c r="E68" i="7"/>
  <c r="G68" i="7" s="1"/>
  <c r="Z68" i="7" s="1"/>
  <c r="E69" i="7"/>
  <c r="G69" i="7" s="1"/>
  <c r="Z69" i="7" s="1"/>
  <c r="E70" i="7"/>
  <c r="G70" i="7" s="1"/>
  <c r="Z70" i="7" s="1"/>
  <c r="E71" i="7"/>
  <c r="G71" i="7" s="1"/>
  <c r="Z71" i="7" s="1"/>
  <c r="E72" i="7"/>
  <c r="G72" i="7" s="1"/>
  <c r="Z72" i="7" s="1"/>
  <c r="E73" i="7"/>
  <c r="G73" i="7" s="1"/>
  <c r="Z73" i="7" s="1"/>
  <c r="E74" i="7"/>
  <c r="G74" i="7" s="1"/>
  <c r="Z74" i="7" s="1"/>
  <c r="E75" i="7"/>
  <c r="G75" i="7" s="1"/>
  <c r="Z75" i="7" s="1"/>
  <c r="E76" i="7"/>
  <c r="G76" i="7" s="1"/>
  <c r="Z76" i="7" s="1"/>
  <c r="E77" i="7"/>
  <c r="G77" i="7" s="1"/>
  <c r="Z77" i="7" s="1"/>
  <c r="E78" i="7"/>
  <c r="G78" i="7" s="1"/>
  <c r="Z78" i="7" s="1"/>
  <c r="E79" i="7"/>
  <c r="G79" i="7" s="1"/>
  <c r="Z79" i="7" s="1"/>
  <c r="E80" i="7"/>
  <c r="G80" i="7" s="1"/>
  <c r="Z80" i="7" s="1"/>
  <c r="E81" i="7"/>
  <c r="G81" i="7" s="1"/>
  <c r="Z81" i="7" s="1"/>
  <c r="E82" i="7"/>
  <c r="G82" i="7" s="1"/>
  <c r="Z82" i="7" s="1"/>
  <c r="E83" i="7"/>
  <c r="G83" i="7" s="1"/>
  <c r="Z83" i="7" s="1"/>
  <c r="E84" i="7"/>
  <c r="G84" i="7" s="1"/>
  <c r="Z84" i="7" s="1"/>
  <c r="E85" i="7"/>
  <c r="G85" i="7" s="1"/>
  <c r="Z85" i="7" s="1"/>
  <c r="E86" i="7"/>
  <c r="G86" i="7" s="1"/>
  <c r="Z86" i="7" s="1"/>
  <c r="E87" i="7"/>
  <c r="G87" i="7" s="1"/>
  <c r="Z87" i="7" s="1"/>
  <c r="E88" i="7"/>
  <c r="G88" i="7" s="1"/>
  <c r="Z88" i="7" s="1"/>
  <c r="E89" i="7"/>
  <c r="G89" i="7" s="1"/>
  <c r="Z89" i="7" s="1"/>
  <c r="E90" i="7"/>
  <c r="G90" i="7" s="1"/>
  <c r="Z90" i="7" s="1"/>
  <c r="E91" i="7"/>
  <c r="G91" i="7" s="1"/>
  <c r="Z91" i="7" s="1"/>
  <c r="E92" i="7"/>
  <c r="G92" i="7" s="1"/>
  <c r="Z92" i="7" s="1"/>
  <c r="E93" i="7"/>
  <c r="G93" i="7" s="1"/>
  <c r="Z93" i="7" s="1"/>
  <c r="E94" i="7"/>
  <c r="G94" i="7" s="1"/>
  <c r="Z94" i="7" s="1"/>
  <c r="E95" i="7"/>
  <c r="G95" i="7" s="1"/>
  <c r="Z95" i="7" s="1"/>
  <c r="E96" i="7"/>
  <c r="G96" i="7" s="1"/>
  <c r="Z96" i="7" s="1"/>
  <c r="E97" i="7"/>
  <c r="G97" i="7" s="1"/>
  <c r="Z97" i="7" s="1"/>
  <c r="E98" i="7"/>
  <c r="G98" i="7" s="1"/>
  <c r="Z98" i="7" s="1"/>
  <c r="E99" i="7"/>
  <c r="G99" i="7" s="1"/>
  <c r="Z99" i="7" s="1"/>
  <c r="E100" i="7"/>
  <c r="G100" i="7" s="1"/>
  <c r="Z100" i="7" s="1"/>
  <c r="E101" i="7"/>
  <c r="G101" i="7" s="1"/>
  <c r="Z101" i="7" s="1"/>
  <c r="E102" i="7"/>
  <c r="G102" i="7" s="1"/>
  <c r="Z102" i="7" s="1"/>
  <c r="E103" i="7"/>
  <c r="G103" i="7" s="1"/>
  <c r="Z103" i="7" s="1"/>
  <c r="E104" i="7"/>
  <c r="G104" i="7" s="1"/>
  <c r="Z104" i="7" s="1"/>
  <c r="E105" i="7"/>
  <c r="G105" i="7" s="1"/>
  <c r="Z105" i="7" s="1"/>
  <c r="E106" i="7"/>
  <c r="G106" i="7" s="1"/>
  <c r="Z106" i="7" s="1"/>
  <c r="E107" i="7"/>
  <c r="G107" i="7" s="1"/>
  <c r="Z107" i="7" s="1"/>
  <c r="E108" i="7"/>
  <c r="G108" i="7" s="1"/>
  <c r="Z108" i="7" s="1"/>
  <c r="E109" i="7"/>
  <c r="G109" i="7" s="1"/>
  <c r="Z109" i="7" s="1"/>
  <c r="E110" i="7"/>
  <c r="G110" i="7" s="1"/>
  <c r="Z110" i="7" s="1"/>
  <c r="E111" i="7"/>
  <c r="G111" i="7" s="1"/>
  <c r="Z111" i="7" s="1"/>
  <c r="E112" i="7"/>
  <c r="G112" i="7" s="1"/>
  <c r="Z112" i="7" s="1"/>
  <c r="E113" i="7"/>
  <c r="G113" i="7" s="1"/>
  <c r="Z113" i="7" s="1"/>
  <c r="E114" i="7"/>
  <c r="G114" i="7" s="1"/>
  <c r="Z114" i="7" s="1"/>
  <c r="E115" i="7"/>
  <c r="G115" i="7" s="1"/>
  <c r="Z115" i="7" s="1"/>
  <c r="E116" i="7"/>
  <c r="G116" i="7" s="1"/>
  <c r="Z116" i="7" s="1"/>
  <c r="E117" i="7"/>
  <c r="G117" i="7" s="1"/>
  <c r="Z117" i="7" s="1"/>
  <c r="E118" i="7"/>
  <c r="G118" i="7" s="1"/>
  <c r="Z118" i="7" s="1"/>
  <c r="E119" i="7"/>
  <c r="G119" i="7" s="1"/>
  <c r="Z119" i="7" s="1"/>
  <c r="E120" i="7"/>
  <c r="G120" i="7" s="1"/>
  <c r="Z120" i="7" s="1"/>
  <c r="E121" i="7"/>
  <c r="G121" i="7" s="1"/>
  <c r="Z121" i="7" s="1"/>
  <c r="E122" i="7"/>
  <c r="G122" i="7" s="1"/>
  <c r="Z122" i="7" s="1"/>
  <c r="E123" i="7"/>
  <c r="G123" i="7" s="1"/>
  <c r="Z123" i="7" s="1"/>
  <c r="E124" i="7"/>
  <c r="G124" i="7" s="1"/>
  <c r="Z124" i="7" s="1"/>
  <c r="E125" i="7"/>
  <c r="G125" i="7" s="1"/>
  <c r="Z125" i="7" s="1"/>
  <c r="E126" i="7"/>
  <c r="G126" i="7" s="1"/>
  <c r="Z126" i="7" s="1"/>
  <c r="E127" i="7"/>
  <c r="G127" i="7" s="1"/>
  <c r="Z127" i="7" s="1"/>
  <c r="E128" i="7"/>
  <c r="G128" i="7" s="1"/>
  <c r="Z128" i="7" s="1"/>
  <c r="E129" i="7"/>
  <c r="G129" i="7" s="1"/>
  <c r="Z129" i="7" s="1"/>
  <c r="E130" i="7"/>
  <c r="G130" i="7" s="1"/>
  <c r="Z130" i="7" s="1"/>
  <c r="E131" i="7"/>
  <c r="G131" i="7" s="1"/>
  <c r="Z131" i="7" s="1"/>
  <c r="E132" i="7"/>
  <c r="G132" i="7" s="1"/>
  <c r="Z132" i="7" s="1"/>
  <c r="E133" i="7"/>
  <c r="G133" i="7" s="1"/>
  <c r="Z133" i="7" s="1"/>
  <c r="E134" i="7"/>
  <c r="G134" i="7" s="1"/>
  <c r="Z134" i="7" s="1"/>
  <c r="E135" i="7"/>
  <c r="G135" i="7" s="1"/>
  <c r="Z135" i="7" s="1"/>
  <c r="E136" i="7"/>
  <c r="G136" i="7" s="1"/>
  <c r="Z136" i="7" s="1"/>
  <c r="E137" i="7"/>
  <c r="G137" i="7" s="1"/>
  <c r="Z137" i="7" s="1"/>
  <c r="E138" i="7"/>
  <c r="G138" i="7" s="1"/>
  <c r="Z138" i="7" s="1"/>
  <c r="E139" i="7"/>
  <c r="G139" i="7" s="1"/>
  <c r="Z139" i="7" s="1"/>
  <c r="E140" i="7"/>
  <c r="G140" i="7" s="1"/>
  <c r="Z140" i="7" s="1"/>
  <c r="E141" i="7"/>
  <c r="G141" i="7" s="1"/>
  <c r="Z141" i="7" s="1"/>
  <c r="E142" i="7"/>
  <c r="G142" i="7" s="1"/>
  <c r="Z142" i="7" s="1"/>
  <c r="E143" i="7"/>
  <c r="G143" i="7" s="1"/>
  <c r="Z143" i="7" s="1"/>
  <c r="E144" i="7"/>
  <c r="G144" i="7" s="1"/>
  <c r="Z144" i="7" s="1"/>
  <c r="E145" i="7"/>
  <c r="G145" i="7" s="1"/>
  <c r="Z145" i="7" s="1"/>
  <c r="E146" i="7"/>
  <c r="G146" i="7" s="1"/>
  <c r="Z146" i="7" s="1"/>
  <c r="E147" i="7"/>
  <c r="G147" i="7" s="1"/>
  <c r="Z147" i="7" s="1"/>
  <c r="E148" i="7"/>
  <c r="G148" i="7" s="1"/>
  <c r="Z148" i="7" s="1"/>
  <c r="E149" i="7"/>
  <c r="G149" i="7" s="1"/>
  <c r="Z149" i="7" s="1"/>
  <c r="E150" i="7"/>
  <c r="G150" i="7" s="1"/>
  <c r="Z150" i="7" s="1"/>
  <c r="E151" i="7"/>
  <c r="G151" i="7" s="1"/>
  <c r="Z151" i="7" s="1"/>
  <c r="E152" i="7"/>
  <c r="G152" i="7" s="1"/>
  <c r="Z152" i="7" s="1"/>
  <c r="E153" i="7"/>
  <c r="G153" i="7" s="1"/>
  <c r="Z153" i="7" s="1"/>
  <c r="E154" i="7"/>
  <c r="G154" i="7" s="1"/>
  <c r="Z154" i="7" s="1"/>
  <c r="E155" i="7"/>
  <c r="G155" i="7" s="1"/>
  <c r="Z155" i="7" s="1"/>
  <c r="E156" i="7"/>
  <c r="G156" i="7" s="1"/>
  <c r="Z156" i="7" s="1"/>
  <c r="E157" i="7"/>
  <c r="G157" i="7" s="1"/>
  <c r="Z157" i="7" s="1"/>
  <c r="E158" i="7"/>
  <c r="G158" i="7" s="1"/>
  <c r="Z158" i="7" s="1"/>
  <c r="E159" i="7"/>
  <c r="G159" i="7" s="1"/>
  <c r="Z159" i="7" s="1"/>
  <c r="E160" i="7"/>
  <c r="G160" i="7" s="1"/>
  <c r="Z160" i="7" s="1"/>
  <c r="E161" i="7"/>
  <c r="G161" i="7" s="1"/>
  <c r="Z161" i="7" s="1"/>
  <c r="E162" i="7"/>
  <c r="G162" i="7" s="1"/>
  <c r="Z162" i="7" s="1"/>
  <c r="E163" i="7"/>
  <c r="G163" i="7" s="1"/>
  <c r="Z163" i="7" s="1"/>
  <c r="E164" i="7"/>
  <c r="G164" i="7" s="1"/>
  <c r="Z164" i="7" s="1"/>
  <c r="E165" i="7"/>
  <c r="G165" i="7" s="1"/>
  <c r="Z165" i="7" s="1"/>
  <c r="E166" i="7"/>
  <c r="G166" i="7" s="1"/>
  <c r="Z166" i="7" s="1"/>
  <c r="E167" i="7"/>
  <c r="G167" i="7" s="1"/>
  <c r="Z167" i="7" s="1"/>
  <c r="E168" i="7"/>
  <c r="G168" i="7" s="1"/>
  <c r="Z168" i="7" s="1"/>
  <c r="E169" i="7"/>
  <c r="G169" i="7" s="1"/>
  <c r="Z169" i="7" s="1"/>
  <c r="E170" i="7"/>
  <c r="G170" i="7" s="1"/>
  <c r="Z170" i="7" s="1"/>
  <c r="E171" i="7"/>
  <c r="G171" i="7" s="1"/>
  <c r="Z171" i="7" s="1"/>
  <c r="E172" i="7"/>
  <c r="G172" i="7" s="1"/>
  <c r="Z172" i="7" s="1"/>
  <c r="E173" i="7"/>
  <c r="G173" i="7" s="1"/>
  <c r="Z173" i="7" s="1"/>
  <c r="E174" i="7"/>
  <c r="G174" i="7" s="1"/>
  <c r="Z174" i="7" s="1"/>
  <c r="E175" i="7"/>
  <c r="G175" i="7" s="1"/>
  <c r="Z175" i="7" s="1"/>
  <c r="E176" i="7"/>
  <c r="G176" i="7" s="1"/>
  <c r="Z176" i="7" s="1"/>
  <c r="E177" i="7"/>
  <c r="G177" i="7" s="1"/>
  <c r="Z177" i="7" s="1"/>
  <c r="E178" i="7"/>
  <c r="G178" i="7" s="1"/>
  <c r="Z178" i="7" s="1"/>
  <c r="E179" i="7"/>
  <c r="G179" i="7" s="1"/>
  <c r="Z179" i="7" s="1"/>
  <c r="E180" i="7"/>
  <c r="G180" i="7" s="1"/>
  <c r="Z180" i="7" s="1"/>
  <c r="E181" i="7"/>
  <c r="G181" i="7" s="1"/>
  <c r="Z181" i="7" s="1"/>
  <c r="E182" i="7"/>
  <c r="G182" i="7" s="1"/>
  <c r="Z182" i="7" s="1"/>
  <c r="E183" i="7"/>
  <c r="G183" i="7" s="1"/>
  <c r="Z183" i="7" s="1"/>
  <c r="E184" i="7"/>
  <c r="G184" i="7" s="1"/>
  <c r="Z184" i="7" s="1"/>
  <c r="E24" i="6" l="1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23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" i="6"/>
  <c r="E3" i="6"/>
  <c r="E4" i="6"/>
  <c r="E5" i="6"/>
  <c r="E6" i="6"/>
  <c r="E154" i="5" l="1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20" i="5"/>
  <c r="E121" i="5"/>
  <c r="E110" i="5"/>
  <c r="E111" i="5"/>
  <c r="E112" i="5"/>
  <c r="E113" i="5"/>
  <c r="E114" i="5"/>
  <c r="E115" i="5"/>
  <c r="E116" i="5"/>
  <c r="E117" i="5"/>
  <c r="E118" i="5"/>
  <c r="E119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90" i="5"/>
  <c r="E91" i="5"/>
  <c r="E92" i="5"/>
  <c r="E93" i="5"/>
  <c r="E94" i="5"/>
  <c r="E89" i="5"/>
  <c r="E81" i="5"/>
  <c r="E82" i="5"/>
  <c r="E83" i="5"/>
  <c r="E84" i="5"/>
  <c r="E85" i="5"/>
  <c r="E86" i="5"/>
  <c r="E87" i="5"/>
  <c r="E88" i="5"/>
  <c r="E80" i="5"/>
  <c r="E79" i="5"/>
  <c r="E78" i="5"/>
  <c r="E77" i="5"/>
  <c r="E2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F11" i="3"/>
  <c r="F13" i="3"/>
  <c r="F12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29" i="3"/>
  <c r="F30" i="3"/>
  <c r="F28" i="3"/>
  <c r="F27" i="3"/>
  <c r="F26" i="3"/>
  <c r="F25" i="3" l="1"/>
  <c r="F24" i="3"/>
  <c r="F23" i="3"/>
  <c r="F22" i="3"/>
  <c r="F21" i="3"/>
  <c r="F20" i="3"/>
  <c r="F19" i="3"/>
  <c r="F18" i="3"/>
  <c r="F17" i="3"/>
  <c r="F16" i="3"/>
  <c r="F15" i="3"/>
  <c r="F14" i="3"/>
  <c r="F10" i="3"/>
  <c r="F9" i="3"/>
  <c r="F8" i="3"/>
  <c r="F7" i="3"/>
  <c r="F6" i="3"/>
  <c r="F5" i="3"/>
  <c r="F4" i="3"/>
  <c r="F3" i="3"/>
  <c r="F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1" i="3"/>
  <c r="F162" i="3"/>
  <c r="F160" i="3"/>
  <c r="F159" i="3"/>
  <c r="F158" i="3"/>
  <c r="F157" i="3"/>
  <c r="F156" i="3"/>
  <c r="F155" i="3"/>
  <c r="F154" i="3"/>
  <c r="F153" i="3"/>
  <c r="F152" i="3"/>
  <c r="F151" i="3"/>
  <c r="F149" i="3" l="1"/>
  <c r="F148" i="3"/>
  <c r="F147" i="3"/>
  <c r="F146" i="3"/>
  <c r="F145" i="3"/>
  <c r="F144" i="3"/>
  <c r="F143" i="3"/>
  <c r="F142" i="3"/>
  <c r="F141" i="3"/>
  <c r="F140" i="3"/>
  <c r="F139" i="3"/>
  <c r="F138" i="3"/>
  <c r="F137" i="3"/>
  <c r="F133" i="3"/>
  <c r="F132" i="3"/>
  <c r="F131" i="3"/>
  <c r="F130" i="3"/>
  <c r="F129" i="3"/>
  <c r="F128" i="3"/>
  <c r="F127" i="3"/>
  <c r="F126" i="3"/>
  <c r="F125" i="3"/>
  <c r="F121" i="3"/>
  <c r="F120" i="3"/>
  <c r="F119" i="3"/>
  <c r="F117" i="3"/>
  <c r="F116" i="3"/>
  <c r="F118" i="3"/>
  <c r="F115" i="3"/>
  <c r="F114" i="3"/>
  <c r="F113" i="3"/>
  <c r="F112" i="3"/>
  <c r="F111" i="3"/>
  <c r="F110" i="3"/>
  <c r="F109" i="3"/>
  <c r="F106" i="3"/>
  <c r="F105" i="3"/>
  <c r="F104" i="3"/>
  <c r="F103" i="3"/>
  <c r="F102" i="3"/>
  <c r="F101" i="3"/>
  <c r="F100" i="3"/>
  <c r="F98" i="3"/>
  <c r="F99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2" i="3"/>
  <c r="F55" i="3"/>
  <c r="F54" i="3"/>
  <c r="F53" i="3"/>
  <c r="F51" i="3"/>
  <c r="F50" i="3"/>
</calcChain>
</file>

<file path=xl/sharedStrings.xml><?xml version="1.0" encoding="utf-8"?>
<sst xmlns="http://schemas.openxmlformats.org/spreadsheetml/2006/main" count="457" uniqueCount="120">
  <si>
    <t>nama PT</t>
  </si>
  <si>
    <t>Tahun</t>
  </si>
  <si>
    <t>BMSR</t>
  </si>
  <si>
    <t>CITA</t>
  </si>
  <si>
    <t>IGAR</t>
  </si>
  <si>
    <t>INTP</t>
  </si>
  <si>
    <t>ISSP</t>
  </si>
  <si>
    <t>LTLS</t>
  </si>
  <si>
    <t>SMBR</t>
  </si>
  <si>
    <t>SMCB</t>
  </si>
  <si>
    <t>SMGR</t>
  </si>
  <si>
    <t>SPMA</t>
  </si>
  <si>
    <t>WTON</t>
  </si>
  <si>
    <t>PBID</t>
  </si>
  <si>
    <t>IFSH</t>
  </si>
  <si>
    <t>SAMF</t>
  </si>
  <si>
    <t>BEBS</t>
  </si>
  <si>
    <t>AVIA</t>
  </si>
  <si>
    <t>AALI</t>
  </si>
  <si>
    <t>ADES</t>
  </si>
  <si>
    <t>BISI</t>
  </si>
  <si>
    <t>CEKA</t>
  </si>
  <si>
    <t>CPIN</t>
  </si>
  <si>
    <t>DSNG</t>
  </si>
  <si>
    <t>HMSP</t>
  </si>
  <si>
    <t>ICBP</t>
  </si>
  <si>
    <t>INDF</t>
  </si>
  <si>
    <t>JPFA</t>
  </si>
  <si>
    <t>ARNA</t>
  </si>
  <si>
    <t>ASGR</t>
  </si>
  <si>
    <t>ASII</t>
  </si>
  <si>
    <t>BHIT</t>
  </si>
  <si>
    <t>IMPC</t>
  </si>
  <si>
    <t>MFMI</t>
  </si>
  <si>
    <t>TOTO</t>
  </si>
  <si>
    <t>UNTR</t>
  </si>
  <si>
    <t>SPTO</t>
  </si>
  <si>
    <t>ARKA</t>
  </si>
  <si>
    <t>total aset</t>
  </si>
  <si>
    <t>ROA</t>
  </si>
  <si>
    <t>ekuitas</t>
  </si>
  <si>
    <t>rupiah</t>
  </si>
  <si>
    <t xml:space="preserve">laba bersih </t>
  </si>
  <si>
    <t>arus kas operasi</t>
  </si>
  <si>
    <t>total aset thn sblmnya</t>
  </si>
  <si>
    <t>aset tetap</t>
  </si>
  <si>
    <t>piutang</t>
  </si>
  <si>
    <t>LSIP</t>
  </si>
  <si>
    <t>MAIN</t>
  </si>
  <si>
    <t>MLBI</t>
  </si>
  <si>
    <t>MYOR</t>
  </si>
  <si>
    <t>ROTI</t>
  </si>
  <si>
    <t>SKBM</t>
  </si>
  <si>
    <t>SMAR</t>
  </si>
  <si>
    <t>STTP</t>
  </si>
  <si>
    <t>TBLA</t>
  </si>
  <si>
    <t>TGKA</t>
  </si>
  <si>
    <t>ULTJ</t>
  </si>
  <si>
    <t>UNVR</t>
  </si>
  <si>
    <t>CLEO</t>
  </si>
  <si>
    <t>CAMP</t>
  </si>
  <si>
    <t>ITIC</t>
  </si>
  <si>
    <t>PSGO</t>
  </si>
  <si>
    <t>UCID</t>
  </si>
  <si>
    <t>CSRA</t>
  </si>
  <si>
    <t>DMND</t>
  </si>
  <si>
    <t>PGUN</t>
  </si>
  <si>
    <t>FAPA</t>
  </si>
  <si>
    <t>TAPG</t>
  </si>
  <si>
    <t>CMRY</t>
  </si>
  <si>
    <t>IPPE</t>
  </si>
  <si>
    <t>STAA</t>
  </si>
  <si>
    <t>ribuan</t>
  </si>
  <si>
    <t>miliar</t>
  </si>
  <si>
    <t>TOTAL DEWAN KOMISARIS</t>
  </si>
  <si>
    <t>KOMISARIS INDEPENDEN</t>
  </si>
  <si>
    <t>DKI</t>
  </si>
  <si>
    <t>CSR</t>
  </si>
  <si>
    <t>item yg diungakapkan</t>
  </si>
  <si>
    <t>indikator csr 2021</t>
  </si>
  <si>
    <r>
      <t>N</t>
    </r>
    <r>
      <rPr>
        <sz val="10"/>
        <color theme="1"/>
        <rFont val="Calibri"/>
        <family val="2"/>
        <scheme val="minor"/>
      </rPr>
      <t>it (laba bersih)</t>
    </r>
  </si>
  <si>
    <r>
      <t>TAC</t>
    </r>
    <r>
      <rPr>
        <sz val="10"/>
        <color theme="1"/>
        <rFont val="Calibri"/>
        <family val="2"/>
        <scheme val="minor"/>
      </rPr>
      <t>it</t>
    </r>
  </si>
  <si>
    <t>penjualan/pendapatan</t>
  </si>
  <si>
    <t>penjualan/pendapatan thn sblmnya</t>
  </si>
  <si>
    <t>piutang thn sblmnya</t>
  </si>
  <si>
    <t>REV (pendapatan)</t>
  </si>
  <si>
    <r>
      <t>REV</t>
    </r>
    <r>
      <rPr>
        <sz val="10"/>
        <color theme="1"/>
        <rFont val="Calibri"/>
        <family val="2"/>
        <scheme val="minor"/>
      </rPr>
      <t>it-1</t>
    </r>
  </si>
  <si>
    <t>ΔREVit</t>
  </si>
  <si>
    <t>PPEit (aset tetap)</t>
  </si>
  <si>
    <t>a1</t>
  </si>
  <si>
    <t>a2</t>
  </si>
  <si>
    <t>a3</t>
  </si>
  <si>
    <t>REC (piutang)</t>
  </si>
  <si>
    <t>RECit-1 (piutang sblmnya)</t>
  </si>
  <si>
    <t>ΔRECit</t>
  </si>
  <si>
    <t>((ΔREVit-ΔRECit)/Ait-1))</t>
  </si>
  <si>
    <r>
      <t>CFO</t>
    </r>
    <r>
      <rPr>
        <sz val="10"/>
        <color theme="1"/>
        <rFont val="Calibri"/>
        <family val="2"/>
        <scheme val="minor"/>
      </rPr>
      <t>it (arus kas operasi)</t>
    </r>
  </si>
  <si>
    <r>
      <t>TAC/A</t>
    </r>
    <r>
      <rPr>
        <sz val="10"/>
        <color theme="1"/>
        <rFont val="Calibri"/>
        <family val="2"/>
        <scheme val="minor"/>
      </rPr>
      <t>it-1</t>
    </r>
    <r>
      <rPr>
        <sz val="11"/>
        <color theme="1"/>
        <rFont val="Calibri"/>
        <family val="2"/>
        <scheme val="minor"/>
      </rPr>
      <t xml:space="preserve"> Y</t>
    </r>
  </si>
  <si>
    <t>ΔREVit/Ait-1 X2</t>
  </si>
  <si>
    <t>PPE/Ait-1 X3</t>
  </si>
  <si>
    <t>a1(1/Ait-1)</t>
  </si>
  <si>
    <t>a2((ΔREVit-ΔRECit)/Ait-1))</t>
  </si>
  <si>
    <t>a3(PPE/Ait-1)</t>
  </si>
  <si>
    <t>NDA</t>
  </si>
  <si>
    <r>
      <t>A</t>
    </r>
    <r>
      <rPr>
        <sz val="10"/>
        <color theme="1"/>
        <rFont val="Calibri"/>
        <family val="2"/>
        <scheme val="minor"/>
      </rPr>
      <t xml:space="preserve">it-1 </t>
    </r>
    <r>
      <rPr>
        <sz val="11"/>
        <color theme="1"/>
        <rFont val="Calibri"/>
        <family val="2"/>
        <scheme val="minor"/>
      </rPr>
      <t xml:space="preserve"> (total aset thn sblmnya) </t>
    </r>
  </si>
  <si>
    <r>
      <t>1/A</t>
    </r>
    <r>
      <rPr>
        <sz val="10"/>
        <color theme="1"/>
        <rFont val="Calibri"/>
        <family val="2"/>
        <scheme val="minor"/>
      </rPr>
      <t>it-1</t>
    </r>
    <r>
      <rPr>
        <sz val="11"/>
        <color theme="1"/>
        <rFont val="Calibri"/>
        <family val="2"/>
        <scheme val="minor"/>
      </rPr>
      <t xml:space="preserve"> X1</t>
    </r>
  </si>
  <si>
    <r>
      <t>DAC</t>
    </r>
    <r>
      <rPr>
        <sz val="10"/>
        <color theme="1"/>
        <rFont val="Calibri"/>
        <family val="2"/>
        <scheme val="minor"/>
      </rPr>
      <t>it</t>
    </r>
  </si>
  <si>
    <t>BIAYA CSR</t>
  </si>
  <si>
    <t>LABA BERSIH</t>
  </si>
  <si>
    <t>GREEN ACCOUNTING</t>
  </si>
  <si>
    <t>TOTAL ASET</t>
  </si>
  <si>
    <t>ROE</t>
  </si>
  <si>
    <t>x1</t>
  </si>
  <si>
    <t>x2</t>
  </si>
  <si>
    <t>x3</t>
  </si>
  <si>
    <t>y</t>
  </si>
  <si>
    <t>z</t>
  </si>
  <si>
    <t>X1.Z</t>
  </si>
  <si>
    <t>X2.Z</t>
  </si>
  <si>
    <t>X3.Z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</si>
</sst>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p-421]* #,##0_-;\-[$Rp-421]* #,##0_-;_-[$Rp-421]* &quot;-&quot;_-;_-@_-"/>
  </numFmts>
  <fonts count="3" x14ac:knownFonts="1"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0" fillId="0" borderId="1" xfId="0" applyNumberFormat="1" applyBorder="1"/>
    <xf numFmtId="164" fontId="0" fillId="0" borderId="0" xfId="0" applyNumberFormat="1"/>
    <xf numFmtId="0" fontId="1" fillId="2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/>
    </xf>
    <xf numFmtId="0" fontId="1" fillId="10" borderId="2" xfId="0" applyFont="1" applyFill="1" applyBorder="1" applyAlignment="1">
      <alignment horizontal="center"/>
    </xf>
    <xf numFmtId="0" fontId="1" fillId="11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vertical="center"/>
    </xf>
    <xf numFmtId="164" fontId="0" fillId="0" borderId="4" xfId="0" applyNumberFormat="1" applyBorder="1"/>
    <xf numFmtId="2" fontId="0" fillId="0" borderId="1" xfId="0" applyNumberFormat="1" applyBorder="1"/>
    <xf numFmtId="0" fontId="0" fillId="0" borderId="1" xfId="0" applyBorder="1"/>
    <xf numFmtId="0" fontId="1" fillId="8" borderId="2" xfId="0" applyFont="1" applyFill="1" applyBorder="1" applyAlignment="1">
      <alignment horizontal="center"/>
    </xf>
    <xf numFmtId="0" fontId="0" fillId="0" borderId="3" xfId="0" applyBorder="1"/>
    <xf numFmtId="0" fontId="0" fillId="15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0" fillId="9" borderId="1" xfId="0" applyFill="1" applyBorder="1"/>
    <xf numFmtId="0" fontId="0" fillId="9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/>
    </xf>
    <xf numFmtId="2" fontId="0" fillId="9" borderId="1" xfId="0" applyNumberFormat="1" applyFill="1" applyBorder="1" applyAlignment="1">
      <alignment horizontal="center" vertical="center"/>
    </xf>
    <xf numFmtId="2" fontId="0" fillId="0" borderId="0" xfId="0" applyNumberFormat="1"/>
    <xf numFmtId="0" fontId="0" fillId="16" borderId="1" xfId="0" applyFill="1" applyBorder="1"/>
    <xf numFmtId="0" fontId="0" fillId="16" borderId="1" xfId="0" applyFill="1" applyBorder="1" applyAlignment="1">
      <alignment horizontal="center"/>
    </xf>
    <xf numFmtId="0" fontId="0" fillId="16" borderId="1" xfId="0" applyFill="1" applyBorder="1" applyAlignment="1">
      <alignment horizontal="center" vertical="center"/>
    </xf>
    <xf numFmtId="2" fontId="0" fillId="15" borderId="0" xfId="0" applyNumberFormat="1" applyFill="1" applyAlignment="1">
      <alignment horizontal="center" vertical="center"/>
    </xf>
    <xf numFmtId="164" fontId="0" fillId="0" borderId="3" xfId="0" applyNumberFormat="1" applyBorder="1"/>
    <xf numFmtId="164" fontId="0" fillId="0" borderId="5" xfId="0" applyNumberFormat="1" applyBorder="1"/>
    <xf numFmtId="2" fontId="1" fillId="13" borderId="2" xfId="0" applyNumberFormat="1" applyFont="1" applyFill="1" applyBorder="1" applyAlignment="1">
      <alignment horizontal="center"/>
    </xf>
    <xf numFmtId="164" fontId="0" fillId="0" borderId="6" xfId="0" applyNumberFormat="1" applyBorder="1"/>
    <xf numFmtId="0" fontId="0" fillId="14" borderId="1" xfId="0" applyFill="1" applyBorder="1"/>
    <xf numFmtId="2" fontId="0" fillId="14" borderId="1" xfId="0" applyNumberFormat="1" applyFill="1" applyBorder="1"/>
    <xf numFmtId="0" fontId="1" fillId="13" borderId="2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1" fillId="13" borderId="3" xfId="0" applyFont="1" applyFill="1" applyBorder="1" applyAlignment="1">
      <alignment horizontal="center"/>
    </xf>
    <xf numFmtId="2" fontId="0" fillId="13" borderId="1" xfId="0" applyNumberFormat="1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2" fontId="1" fillId="11" borderId="1" xfId="0" applyNumberFormat="1" applyFont="1" applyFill="1" applyBorder="1" applyAlignment="1">
      <alignment horizontal="center"/>
    </xf>
    <xf numFmtId="164" fontId="0" fillId="11" borderId="1" xfId="0" applyNumberFormat="1" applyFill="1" applyBorder="1" applyAlignment="1">
      <alignment horizontal="center" vertical="center"/>
    </xf>
    <xf numFmtId="0" fontId="0" fillId="11" borderId="0" xfId="0" applyFill="1" applyAlignment="1">
      <alignment horizontal="center" vertical="center"/>
    </xf>
    <xf numFmtId="2" fontId="0" fillId="11" borderId="1" xfId="0" applyNumberFormat="1" applyFill="1" applyBorder="1" applyAlignment="1">
      <alignment horizontal="center" vertical="center"/>
    </xf>
    <xf numFmtId="2" fontId="0" fillId="13" borderId="0" xfId="0" applyNumberFormat="1" applyFill="1" applyAlignment="1">
      <alignment horizontal="center" vertical="center"/>
    </xf>
    <xf numFmtId="2" fontId="0" fillId="13" borderId="1" xfId="0" applyNumberFormat="1" applyFill="1" applyBorder="1"/>
    <xf numFmtId="2" fontId="0" fillId="13" borderId="0" xfId="0" applyNumberFormat="1" applyFill="1"/>
    <xf numFmtId="2" fontId="0" fillId="13" borderId="1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8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12" borderId="0" xfId="0" applyFill="1" applyAlignment="1">
      <alignment horizontal="center" vertical="center"/>
    </xf>
    <xf numFmtId="2" fontId="0" fillId="13" borderId="2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339AE-7237-409E-81DC-AB8D2C091CEE}">
  <dimension ref="A1:N185"/>
  <sheetViews>
    <sheetView zoomScale="97" zoomScaleNormal="97" workbookViewId="0">
      <selection activeCell="E8" sqref="E8"/>
    </sheetView>
  </sheetViews>
  <sheetFormatPr defaultRowHeight="15" x14ac:dyDescent="0.25"/>
  <cols>
    <col min="3" max="3" width="26.85546875" customWidth="1"/>
    <col min="4" max="5" width="27.140625" customWidth="1"/>
    <col min="6" max="6" width="24" customWidth="1"/>
    <col min="7" max="7" width="26.5703125" customWidth="1"/>
    <col min="8" max="8" width="25.42578125" customWidth="1"/>
    <col min="9" max="9" width="29.7109375" customWidth="1"/>
    <col min="10" max="10" width="28.7109375" customWidth="1"/>
    <col min="11" max="11" width="26.28515625" customWidth="1"/>
    <col min="12" max="12" width="25" customWidth="1"/>
  </cols>
  <sheetData>
    <row r="1" spans="1:13" x14ac:dyDescent="0.25">
      <c r="A1" s="1" t="s">
        <v>0</v>
      </c>
      <c r="B1" s="1" t="s">
        <v>1</v>
      </c>
      <c r="C1" s="17" t="s">
        <v>44</v>
      </c>
      <c r="D1" s="5" t="s">
        <v>38</v>
      </c>
      <c r="E1" s="21" t="s">
        <v>84</v>
      </c>
      <c r="F1" s="9" t="s">
        <v>46</v>
      </c>
      <c r="G1" s="6" t="s">
        <v>45</v>
      </c>
      <c r="H1" s="11" t="s">
        <v>40</v>
      </c>
      <c r="I1" s="21" t="s">
        <v>83</v>
      </c>
      <c r="J1" s="10" t="s">
        <v>82</v>
      </c>
      <c r="K1" s="7" t="s">
        <v>42</v>
      </c>
      <c r="L1" s="8" t="s">
        <v>43</v>
      </c>
    </row>
    <row r="2" spans="1:13" x14ac:dyDescent="0.25">
      <c r="A2" s="1" t="s">
        <v>2</v>
      </c>
      <c r="B2" s="12">
        <v>2021</v>
      </c>
      <c r="C2" s="3">
        <v>706288449539</v>
      </c>
      <c r="D2" s="3">
        <v>977129726928</v>
      </c>
      <c r="E2" s="3">
        <f>297491937732+64846619276</f>
        <v>362338557008</v>
      </c>
      <c r="F2" s="3">
        <f>436701663769+113367693285</f>
        <v>550069357054</v>
      </c>
      <c r="G2" s="3">
        <v>51057283308</v>
      </c>
      <c r="H2" s="3">
        <v>306667450012</v>
      </c>
      <c r="I2" s="3">
        <v>2597432424347</v>
      </c>
      <c r="J2" s="3">
        <v>3309550194031</v>
      </c>
      <c r="K2" s="3">
        <v>178048508091</v>
      </c>
      <c r="L2" s="3">
        <v>148323984609</v>
      </c>
      <c r="M2" s="4"/>
    </row>
    <row r="3" spans="1:13" x14ac:dyDescent="0.25">
      <c r="A3" s="1"/>
      <c r="B3" s="12">
        <v>2022</v>
      </c>
      <c r="C3" s="3">
        <v>977129726928</v>
      </c>
      <c r="D3" s="3">
        <v>1555132539181</v>
      </c>
      <c r="E3" s="3">
        <f>436701663769+113367693285</f>
        <v>550069357054</v>
      </c>
      <c r="F3" s="3">
        <f>506974337804+218220906075</f>
        <v>725195243879</v>
      </c>
      <c r="G3" s="3">
        <v>48328617399</v>
      </c>
      <c r="H3" s="3">
        <v>681250806276</v>
      </c>
      <c r="I3" s="3">
        <v>3309550194031</v>
      </c>
      <c r="J3" s="3">
        <v>4830287518791</v>
      </c>
      <c r="K3" s="3">
        <v>374509110044</v>
      </c>
      <c r="L3" s="3">
        <v>298296109036</v>
      </c>
      <c r="M3" s="4"/>
    </row>
    <row r="4" spans="1:13" x14ac:dyDescent="0.25">
      <c r="A4" s="1"/>
      <c r="B4" s="12">
        <v>2023</v>
      </c>
      <c r="C4" s="3">
        <v>1555132539181</v>
      </c>
      <c r="D4" s="3">
        <v>1551246449863</v>
      </c>
      <c r="E4" s="3">
        <f>506974337804+218220906075</f>
        <v>725195243879</v>
      </c>
      <c r="F4" s="3">
        <f>349906095981+295299283058</f>
        <v>645205379039</v>
      </c>
      <c r="G4" s="3">
        <v>104902007757</v>
      </c>
      <c r="H4" s="3">
        <v>829170383219</v>
      </c>
      <c r="I4" s="3">
        <v>4830287518791</v>
      </c>
      <c r="J4" s="3">
        <v>3859879267941</v>
      </c>
      <c r="K4" s="3">
        <v>174691961974</v>
      </c>
      <c r="L4" s="3">
        <v>33698739865</v>
      </c>
      <c r="M4" s="4"/>
    </row>
    <row r="5" spans="1:13" x14ac:dyDescent="0.25">
      <c r="A5" s="1" t="s">
        <v>3</v>
      </c>
      <c r="B5" s="12">
        <v>2021</v>
      </c>
      <c r="C5" s="3">
        <v>4140022660450</v>
      </c>
      <c r="D5" s="3">
        <v>4305752389646</v>
      </c>
      <c r="E5" s="3">
        <f>187945464594+65527031639+5888639824+11672860356</f>
        <v>271033996413</v>
      </c>
      <c r="F5" s="3">
        <f>206212882883+232259100563+15912419613+41121120287</f>
        <v>495505523346</v>
      </c>
      <c r="G5" s="3">
        <v>693252912441</v>
      </c>
      <c r="H5" s="3">
        <v>3670508924274</v>
      </c>
      <c r="I5" s="3">
        <v>4344699474015</v>
      </c>
      <c r="J5" s="3">
        <v>4578413666494</v>
      </c>
      <c r="K5" s="3">
        <v>568345150593</v>
      </c>
      <c r="L5" s="3">
        <v>449977281836</v>
      </c>
      <c r="M5" s="4"/>
    </row>
    <row r="6" spans="1:13" x14ac:dyDescent="0.25">
      <c r="A6" s="1"/>
      <c r="B6" s="12">
        <v>2022</v>
      </c>
      <c r="C6" s="3">
        <v>4305752389646</v>
      </c>
      <c r="D6" s="3">
        <v>5213814774459</v>
      </c>
      <c r="E6" s="3">
        <f>206212882883+232259100563+15912419613+41121120287</f>
        <v>495505523346</v>
      </c>
      <c r="F6" s="3">
        <f>35338907781+321688035932+15764587545+17064164785</f>
        <v>389855696043</v>
      </c>
      <c r="G6" s="3">
        <v>665151422865</v>
      </c>
      <c r="H6" s="3">
        <v>4281097892263</v>
      </c>
      <c r="I6" s="3">
        <v>4578413666494</v>
      </c>
      <c r="J6" s="3">
        <v>5694017210214</v>
      </c>
      <c r="K6" s="3">
        <v>744820930786</v>
      </c>
      <c r="L6" s="3">
        <v>521538716056</v>
      </c>
      <c r="M6" s="4"/>
    </row>
    <row r="7" spans="1:13" x14ac:dyDescent="0.25">
      <c r="A7" s="1"/>
      <c r="B7" s="12">
        <v>2023</v>
      </c>
      <c r="C7" s="3">
        <v>5213814774459</v>
      </c>
      <c r="D7" s="3">
        <v>6224306811480</v>
      </c>
      <c r="E7" s="3">
        <f>35338907781+321688035932+15764587545+17064164785</f>
        <v>389855696043</v>
      </c>
      <c r="F7" s="3">
        <f>195480079907+1863836211+14787388486</f>
        <v>212131304604</v>
      </c>
      <c r="G7" s="3">
        <v>595093193950</v>
      </c>
      <c r="H7" s="3">
        <v>5521398735114</v>
      </c>
      <c r="I7" s="3">
        <v>5694017210214</v>
      </c>
      <c r="J7" s="3">
        <v>3292715920018</v>
      </c>
      <c r="K7" s="3">
        <v>718604782391</v>
      </c>
      <c r="L7" s="3">
        <v>26138059838</v>
      </c>
      <c r="M7" s="4"/>
    </row>
    <row r="8" spans="1:13" x14ac:dyDescent="0.25">
      <c r="A8" s="1" t="s">
        <v>4</v>
      </c>
      <c r="B8" s="12">
        <v>2021</v>
      </c>
      <c r="C8" s="3">
        <v>665863417235</v>
      </c>
      <c r="D8" s="3">
        <v>809371584010</v>
      </c>
      <c r="E8" s="3">
        <f>140088301532+322593506</f>
        <v>140410895038</v>
      </c>
      <c r="F8" s="3">
        <f>208268815057+251657059</f>
        <v>208520472116</v>
      </c>
      <c r="G8" s="3">
        <v>126819959998</v>
      </c>
      <c r="H8" s="3">
        <v>691468538398</v>
      </c>
      <c r="I8" s="3">
        <v>739402296030</v>
      </c>
      <c r="J8" s="3">
        <v>970111806482</v>
      </c>
      <c r="K8" s="3">
        <v>104034299846</v>
      </c>
      <c r="L8" s="3">
        <v>58598795292</v>
      </c>
      <c r="M8" s="4"/>
    </row>
    <row r="9" spans="1:13" x14ac:dyDescent="0.25">
      <c r="A9" s="1"/>
      <c r="B9" s="12">
        <v>2022</v>
      </c>
      <c r="C9" s="3">
        <v>809371584010</v>
      </c>
      <c r="D9" s="3">
        <v>863638556466</v>
      </c>
      <c r="E9" s="3">
        <f>208268815057+251657059</f>
        <v>208520472116</v>
      </c>
      <c r="F9" s="3">
        <f>182647258959+291746573</f>
        <v>182939005532</v>
      </c>
      <c r="G9" s="3">
        <v>121859771717</v>
      </c>
      <c r="H9" s="3">
        <v>786929124418</v>
      </c>
      <c r="I9" s="3">
        <v>970111806482</v>
      </c>
      <c r="J9" s="3">
        <v>1083672730660</v>
      </c>
      <c r="K9" s="3">
        <v>102314374301</v>
      </c>
      <c r="L9" s="3">
        <v>30505529896</v>
      </c>
      <c r="M9" s="4"/>
    </row>
    <row r="10" spans="1:13" x14ac:dyDescent="0.25">
      <c r="A10" s="1"/>
      <c r="B10" s="12">
        <v>2023</v>
      </c>
      <c r="C10" s="3">
        <v>863638556466</v>
      </c>
      <c r="D10" s="3">
        <v>908807798500</v>
      </c>
      <c r="E10" s="3">
        <f>182647258959+291746573</f>
        <v>182939005532</v>
      </c>
      <c r="F10" s="3">
        <f>160362412563+665534288</f>
        <v>161027946851</v>
      </c>
      <c r="G10" s="3">
        <v>136363047184</v>
      </c>
      <c r="H10" s="3">
        <v>831836397880</v>
      </c>
      <c r="I10" s="3">
        <v>1083672730660</v>
      </c>
      <c r="J10" s="3">
        <v>857775074318</v>
      </c>
      <c r="K10" s="3">
        <v>56643469840</v>
      </c>
      <c r="L10" s="3">
        <v>205332860626</v>
      </c>
      <c r="M10" s="4"/>
    </row>
    <row r="11" spans="1:13" x14ac:dyDescent="0.25">
      <c r="A11" s="1" t="s">
        <v>5</v>
      </c>
      <c r="B11" s="12">
        <v>2021</v>
      </c>
      <c r="C11" s="3">
        <v>27344672000000</v>
      </c>
      <c r="D11" s="3">
        <v>26136114000000</v>
      </c>
      <c r="E11" s="3">
        <f>12464000000+2572188000000+35858000000</f>
        <v>2620510000000</v>
      </c>
      <c r="F11" s="3">
        <f>12684000000+2574108000000+30926000000</f>
        <v>2617718000000</v>
      </c>
      <c r="G11" s="3">
        <v>14342412000000</v>
      </c>
      <c r="H11" s="3">
        <v>20620964000000</v>
      </c>
      <c r="I11" s="3">
        <v>14184322000000</v>
      </c>
      <c r="J11" s="3">
        <v>14771906000000</v>
      </c>
      <c r="K11" s="3">
        <v>1788496000000</v>
      </c>
      <c r="L11" s="3">
        <v>2606707000000</v>
      </c>
      <c r="M11" s="4"/>
    </row>
    <row r="12" spans="1:13" x14ac:dyDescent="0.25">
      <c r="A12" s="1"/>
      <c r="B12" s="12">
        <v>2022</v>
      </c>
      <c r="C12" s="3">
        <v>26136114000000</v>
      </c>
      <c r="D12" s="3">
        <v>25706169000000</v>
      </c>
      <c r="E12" s="3">
        <f>12684000000+2574108000000+30926000000</f>
        <v>2617718000000</v>
      </c>
      <c r="F12" s="3">
        <f>6551000000+2645121000000+34023000000</f>
        <v>2685695000000</v>
      </c>
      <c r="G12" s="3">
        <v>14894921000000</v>
      </c>
      <c r="H12" s="3">
        <v>19566906000000</v>
      </c>
      <c r="I12" s="3">
        <v>14771906000000</v>
      </c>
      <c r="J12" s="3">
        <v>16328278000000</v>
      </c>
      <c r="K12" s="3">
        <v>1842434000000</v>
      </c>
      <c r="L12" s="3">
        <v>2401773000000</v>
      </c>
      <c r="M12" s="4"/>
    </row>
    <row r="13" spans="1:13" x14ac:dyDescent="0.25">
      <c r="A13" s="1"/>
      <c r="B13" s="12">
        <v>2023</v>
      </c>
      <c r="C13" s="3">
        <v>25706169000000</v>
      </c>
      <c r="D13" s="3">
        <v>29649645000000</v>
      </c>
      <c r="E13" s="3">
        <f>6551000000+2645121000000+34023000000</f>
        <v>2685695000000</v>
      </c>
      <c r="F13" s="3">
        <f>29655000000+2712320000000+43818000000</f>
        <v>2785793000000</v>
      </c>
      <c r="G13" s="3">
        <v>19155749000000</v>
      </c>
      <c r="H13" s="3">
        <v>20969511000000</v>
      </c>
      <c r="I13" s="3">
        <v>16328278000000</v>
      </c>
      <c r="J13" s="3">
        <v>17949756000000</v>
      </c>
      <c r="K13" s="3">
        <v>1950266000000</v>
      </c>
      <c r="L13" s="3">
        <v>3485045000000</v>
      </c>
      <c r="M13" s="4"/>
    </row>
    <row r="14" spans="1:13" x14ac:dyDescent="0.25">
      <c r="A14" s="1" t="s">
        <v>6</v>
      </c>
      <c r="B14" s="12">
        <v>2021</v>
      </c>
      <c r="C14" s="3">
        <v>6076604000000</v>
      </c>
      <c r="D14" s="3">
        <v>7097322000000</v>
      </c>
      <c r="E14" s="3">
        <f>830077000000+18222000000+4179000000+2230000000</f>
        <v>854708000000</v>
      </c>
      <c r="F14" s="3">
        <f>972698000000+46886000000+1618000000</f>
        <v>1021202000000</v>
      </c>
      <c r="G14" s="3">
        <v>2214814000000</v>
      </c>
      <c r="H14" s="3">
        <v>3787113000000</v>
      </c>
      <c r="I14" s="3">
        <v>3775530000000</v>
      </c>
      <c r="J14" s="3">
        <v>5378808000000</v>
      </c>
      <c r="K14" s="3">
        <v>486061000000</v>
      </c>
      <c r="L14" s="3">
        <v>-110281000000</v>
      </c>
      <c r="M14" s="4"/>
    </row>
    <row r="15" spans="1:13" x14ac:dyDescent="0.25">
      <c r="A15" s="1"/>
      <c r="B15" s="12">
        <v>2022</v>
      </c>
      <c r="C15" s="3">
        <v>7097322000000</v>
      </c>
      <c r="D15" s="3">
        <v>7405931000000</v>
      </c>
      <c r="E15" s="3">
        <f>972698000000+46886000000+1618000000</f>
        <v>1021202000000</v>
      </c>
      <c r="F15" s="3">
        <f>1121111000000+38750000000+1705000000</f>
        <v>1161566000000</v>
      </c>
      <c r="G15" s="3">
        <v>2471517000000</v>
      </c>
      <c r="H15" s="3">
        <v>4144535000000</v>
      </c>
      <c r="I15" s="3">
        <v>5378808000000</v>
      </c>
      <c r="J15" s="3">
        <v>6255945000000</v>
      </c>
      <c r="K15" s="3">
        <v>305849000000</v>
      </c>
      <c r="L15" s="3">
        <v>-31546000000</v>
      </c>
      <c r="M15" s="4"/>
    </row>
    <row r="16" spans="1:13" x14ac:dyDescent="0.25">
      <c r="A16" s="1"/>
      <c r="B16" s="12">
        <v>2023</v>
      </c>
      <c r="C16" s="3">
        <v>7405931000000</v>
      </c>
      <c r="D16" s="3">
        <v>7971708000000</v>
      </c>
      <c r="E16" s="3">
        <f>1121111000000+38750000000+1705000000</f>
        <v>1161566000000</v>
      </c>
      <c r="F16" s="3">
        <f>1102407000000+32386000000+1463000000</f>
        <v>1136256000000</v>
      </c>
      <c r="G16" s="3">
        <v>2450464000000</v>
      </c>
      <c r="H16" s="3">
        <v>4618346000000</v>
      </c>
      <c r="I16" s="3">
        <v>6255945000000</v>
      </c>
      <c r="J16" s="3">
        <v>6455329000000</v>
      </c>
      <c r="K16" s="3">
        <v>498059000000</v>
      </c>
      <c r="L16" s="3">
        <v>201569000000</v>
      </c>
      <c r="M16" s="4"/>
    </row>
    <row r="17" spans="1:13" x14ac:dyDescent="0.25">
      <c r="A17" s="1" t="s">
        <v>7</v>
      </c>
      <c r="B17" s="12">
        <v>2021</v>
      </c>
      <c r="C17" s="3">
        <v>5524302000000</v>
      </c>
      <c r="D17" s="3">
        <v>6217987000000</v>
      </c>
      <c r="E17" s="3">
        <f>813755000000+2813000000+134879000000</f>
        <v>951447000000</v>
      </c>
      <c r="F17" s="3">
        <f>1018590000000+6465000000+5291000000</f>
        <v>1030346000000</v>
      </c>
      <c r="G17" s="3">
        <v>1815374000000</v>
      </c>
      <c r="H17" s="3">
        <v>2737881000000</v>
      </c>
      <c r="I17" s="3">
        <v>5592338000000</v>
      </c>
      <c r="J17" s="3">
        <v>6635544000000</v>
      </c>
      <c r="K17" s="3">
        <v>305732000000</v>
      </c>
      <c r="L17" s="3">
        <v>437946000000</v>
      </c>
      <c r="M17" s="4"/>
    </row>
    <row r="18" spans="1:13" x14ac:dyDescent="0.25">
      <c r="A18" s="1"/>
      <c r="B18" s="12">
        <v>2022</v>
      </c>
      <c r="C18" s="3">
        <v>6217987000000</v>
      </c>
      <c r="D18" s="3">
        <v>6094139000000</v>
      </c>
      <c r="E18" s="3">
        <f>1018590000000+6465000000+5291000000</f>
        <v>1030346000000</v>
      </c>
      <c r="F18" s="3">
        <f>1050846000000+1884000000+44024000000</f>
        <v>1096754000000</v>
      </c>
      <c r="G18" s="3">
        <v>1821992000000</v>
      </c>
      <c r="H18" s="3">
        <v>2986711000000</v>
      </c>
      <c r="I18" s="3">
        <v>6635544000000</v>
      </c>
      <c r="J18" s="3">
        <v>7879115000000</v>
      </c>
      <c r="K18" s="3">
        <v>340580000000</v>
      </c>
      <c r="L18" s="3">
        <v>281622000000</v>
      </c>
      <c r="M18" s="4"/>
    </row>
    <row r="19" spans="1:13" x14ac:dyDescent="0.25">
      <c r="A19" s="1"/>
      <c r="B19" s="12">
        <v>2023</v>
      </c>
      <c r="C19" s="3">
        <v>6094139000000</v>
      </c>
      <c r="D19" s="3">
        <v>5628540000000</v>
      </c>
      <c r="E19" s="3">
        <f>1050846000000+1884000000+44024000000</f>
        <v>1096754000000</v>
      </c>
      <c r="F19" s="3">
        <f>1017265000000+2911000000+46555000000</f>
        <v>1066731000000</v>
      </c>
      <c r="G19" s="3">
        <v>1754813000000</v>
      </c>
      <c r="H19" s="3">
        <v>2973060000000</v>
      </c>
      <c r="I19" s="3">
        <v>7879115000000</v>
      </c>
      <c r="J19" s="3">
        <v>7316902000000</v>
      </c>
      <c r="K19" s="3">
        <v>167445000000</v>
      </c>
      <c r="L19" s="3">
        <v>583302000000</v>
      </c>
      <c r="M19" s="4"/>
    </row>
    <row r="20" spans="1:13" x14ac:dyDescent="0.25">
      <c r="A20" s="1" t="s">
        <v>8</v>
      </c>
      <c r="B20" s="12">
        <v>2021</v>
      </c>
      <c r="C20" s="3">
        <v>5737175560000</v>
      </c>
      <c r="D20" s="3">
        <v>5271953697000</v>
      </c>
      <c r="E20" s="3">
        <f>6766226000+443455943000+2238785000+6106409000</f>
        <v>458567363000</v>
      </c>
      <c r="F20" s="3">
        <f>16445777000+165762388000+618433000</f>
        <v>182826598000</v>
      </c>
      <c r="G20" s="3">
        <v>4118810511000</v>
      </c>
      <c r="H20" s="3">
        <v>3000166293000</v>
      </c>
      <c r="I20" s="3">
        <v>1721907150000</v>
      </c>
      <c r="J20" s="3">
        <v>1751585770000</v>
      </c>
      <c r="K20" s="3">
        <v>46705891000</v>
      </c>
      <c r="L20" s="3">
        <v>171566369000</v>
      </c>
      <c r="M20" s="4"/>
    </row>
    <row r="21" spans="1:13" x14ac:dyDescent="0.25">
      <c r="A21" s="1"/>
      <c r="B21" s="12">
        <v>2022</v>
      </c>
      <c r="C21" s="3">
        <v>5271953697000</v>
      </c>
      <c r="D21" s="3">
        <v>5211248525000</v>
      </c>
      <c r="E21" s="3">
        <f>16445777000+165762388000+618433000</f>
        <v>182826598000</v>
      </c>
      <c r="F21" s="3">
        <f>8417530000+212628905000+2841773000+348513000</f>
        <v>224236721000</v>
      </c>
      <c r="G21" s="3">
        <v>4043993169000</v>
      </c>
      <c r="H21" s="3">
        <v>3086916334000</v>
      </c>
      <c r="I21" s="3">
        <v>1751585770000</v>
      </c>
      <c r="J21" s="3">
        <v>1881767356000</v>
      </c>
      <c r="K21" s="3">
        <v>94827889000</v>
      </c>
      <c r="L21" s="3">
        <v>411196927000</v>
      </c>
      <c r="M21" s="4"/>
    </row>
    <row r="22" spans="1:13" x14ac:dyDescent="0.25">
      <c r="A22" s="1"/>
      <c r="B22" s="12">
        <v>2023</v>
      </c>
      <c r="C22" s="3">
        <v>5211248525000</v>
      </c>
      <c r="D22" s="3">
        <v>4856730638000</v>
      </c>
      <c r="E22" s="3">
        <f>8417530000+212628905000+2841773000+348513000</f>
        <v>224236721000</v>
      </c>
      <c r="F22" s="3">
        <f>336458042000+122511356000+3133125000+3503000</f>
        <v>462106026000</v>
      </c>
      <c r="G22" s="3">
        <v>3955399358000</v>
      </c>
      <c r="H22" s="3">
        <v>3162412356000</v>
      </c>
      <c r="I22" s="3">
        <v>1881767356000</v>
      </c>
      <c r="J22" s="3">
        <v>2040679390000</v>
      </c>
      <c r="K22" s="3">
        <v>121572505000</v>
      </c>
      <c r="L22" s="3">
        <v>296497994000</v>
      </c>
      <c r="M22" s="4"/>
    </row>
    <row r="23" spans="1:13" x14ac:dyDescent="0.25">
      <c r="A23" s="1" t="s">
        <v>9</v>
      </c>
      <c r="B23" s="12">
        <v>2021</v>
      </c>
      <c r="C23" s="3">
        <v>20738125000000</v>
      </c>
      <c r="D23" s="3">
        <v>21491023000000</v>
      </c>
      <c r="E23" s="3">
        <f>312708000000+2024834000000+45756000000+32513000000</f>
        <v>2415811000000</v>
      </c>
      <c r="F23" s="3">
        <f>151930000000+3128112000000+119160000000+71094000000</f>
        <v>3470296000000</v>
      </c>
      <c r="G23" s="3">
        <v>15007206000000</v>
      </c>
      <c r="H23" s="3">
        <v>11199072000000</v>
      </c>
      <c r="I23" s="3">
        <v>10108220000000</v>
      </c>
      <c r="J23" s="3">
        <v>11218181000000</v>
      </c>
      <c r="K23" s="3">
        <v>713344000000</v>
      </c>
      <c r="L23" s="3">
        <v>1536576000000</v>
      </c>
      <c r="M23" s="4"/>
    </row>
    <row r="24" spans="1:13" x14ac:dyDescent="0.25">
      <c r="A24" s="1"/>
      <c r="B24" s="12">
        <v>2022</v>
      </c>
      <c r="C24" s="3">
        <v>21491023000000</v>
      </c>
      <c r="D24" s="3">
        <v>21378510000000</v>
      </c>
      <c r="E24" s="3">
        <f>151930000000+3128112000000+119160000000+71094000000</f>
        <v>3470296000000</v>
      </c>
      <c r="F24" s="3">
        <f>250343000000+2476106000000+71635000000+83386000000</f>
        <v>2881470000000</v>
      </c>
      <c r="G24" s="3">
        <v>15260436000000</v>
      </c>
      <c r="H24" s="3">
        <v>11860038000000</v>
      </c>
      <c r="I24" s="3">
        <v>11218181000000</v>
      </c>
      <c r="J24" s="3">
        <v>12262048000000</v>
      </c>
      <c r="K24" s="3">
        <v>839276000000</v>
      </c>
      <c r="L24" s="3">
        <v>2995242000000</v>
      </c>
      <c r="M24" s="4"/>
    </row>
    <row r="25" spans="1:13" x14ac:dyDescent="0.25">
      <c r="A25" s="1"/>
      <c r="B25" s="12">
        <v>2023</v>
      </c>
      <c r="C25" s="3">
        <v>21378510000000</v>
      </c>
      <c r="D25" s="3">
        <v>22206739000000</v>
      </c>
      <c r="E25" s="3">
        <f>250343000000+2476106000000+71635000000+83386000000</f>
        <v>2881470000000</v>
      </c>
      <c r="F25" s="3">
        <f>198850000000+3588223000000+109299000000+110318000000</f>
        <v>4006690000000</v>
      </c>
      <c r="G25" s="3">
        <v>15383772000000</v>
      </c>
      <c r="H25" s="3">
        <v>12504614000000</v>
      </c>
      <c r="I25" s="3">
        <v>12262048000000</v>
      </c>
      <c r="J25" s="3">
        <v>12371333000000</v>
      </c>
      <c r="K25" s="3">
        <v>894645000000</v>
      </c>
      <c r="L25" s="3">
        <v>1208081000000</v>
      </c>
      <c r="M25" s="4"/>
    </row>
    <row r="26" spans="1:13" x14ac:dyDescent="0.25">
      <c r="A26" s="1" t="s">
        <v>10</v>
      </c>
      <c r="B26" s="12">
        <v>2021</v>
      </c>
      <c r="C26" s="3">
        <v>78006244000000</v>
      </c>
      <c r="D26" s="3">
        <v>81766327000000</v>
      </c>
      <c r="E26" s="3">
        <f>1451214000000+4326040000000+116780000000+144004000000</f>
        <v>6038038000000</v>
      </c>
      <c r="F26" s="3">
        <f>1102146000000+4588733000000+121075000000+237551000000</f>
        <v>6049505000000</v>
      </c>
      <c r="G26" s="3">
        <v>58839075000000</v>
      </c>
      <c r="H26" s="3">
        <v>42875012000000</v>
      </c>
      <c r="I26" s="3">
        <v>35171668000000</v>
      </c>
      <c r="J26" s="3">
        <v>36702301000000</v>
      </c>
      <c r="K26" s="3">
        <v>2117236000000</v>
      </c>
      <c r="L26" s="3">
        <v>6893908000000</v>
      </c>
      <c r="M26" s="4"/>
    </row>
    <row r="27" spans="1:13" x14ac:dyDescent="0.25">
      <c r="A27" s="1"/>
      <c r="B27" s="12">
        <v>2022</v>
      </c>
      <c r="C27" s="3">
        <v>81766327000000</v>
      </c>
      <c r="D27" s="3">
        <v>82960012000000</v>
      </c>
      <c r="E27" s="3">
        <f>1102146000000+4588733000000+121075000000+237551000000</f>
        <v>6049505000000</v>
      </c>
      <c r="F27" s="3">
        <f>881936000000+4639402000000+153449000000+209879000000</f>
        <v>5884666000000</v>
      </c>
      <c r="G27" s="3">
        <v>57805992000000</v>
      </c>
      <c r="H27" s="3">
        <v>47239360000000</v>
      </c>
      <c r="I27" s="3">
        <v>36702301000000</v>
      </c>
      <c r="J27" s="3">
        <v>36378597000000</v>
      </c>
      <c r="K27" s="3">
        <v>2499083000000</v>
      </c>
      <c r="L27" s="3">
        <v>6037529000000</v>
      </c>
      <c r="M27" s="4"/>
    </row>
    <row r="28" spans="1:13" x14ac:dyDescent="0.25">
      <c r="A28" s="1"/>
      <c r="B28" s="12">
        <v>2023</v>
      </c>
      <c r="C28" s="3">
        <v>82960012000000</v>
      </c>
      <c r="D28" s="3">
        <v>81820529000000</v>
      </c>
      <c r="E28" s="3">
        <f>881936000000+4639402000000+153449000000+209879000000</f>
        <v>5884666000000</v>
      </c>
      <c r="F28" s="3">
        <f>767676000000+5020176000000+193793000000+287284000000</f>
        <v>6268929000000</v>
      </c>
      <c r="G28" s="3">
        <v>56771009000000</v>
      </c>
      <c r="H28" s="3">
        <v>47800976000000</v>
      </c>
      <c r="I28" s="3">
        <v>36378597000000</v>
      </c>
      <c r="J28" s="3">
        <v>38651360000000</v>
      </c>
      <c r="K28" s="3">
        <v>2295601000000</v>
      </c>
      <c r="L28" s="3">
        <v>5745360000000</v>
      </c>
      <c r="M28" s="4"/>
    </row>
    <row r="29" spans="1:13" x14ac:dyDescent="0.25">
      <c r="A29" s="1" t="s">
        <v>11</v>
      </c>
      <c r="B29" s="12">
        <v>2021</v>
      </c>
      <c r="C29" s="3">
        <v>2316065006133</v>
      </c>
      <c r="D29" s="3">
        <v>2746153295147</v>
      </c>
      <c r="E29" s="3">
        <f>141687307148+917326109</f>
        <v>142604633257</v>
      </c>
      <c r="F29" s="3">
        <f>4682381683+211808669996</f>
        <v>216491051679</v>
      </c>
      <c r="G29" s="3">
        <v>1711988805498</v>
      </c>
      <c r="H29" s="3">
        <v>1815473344846</v>
      </c>
      <c r="I29" s="3">
        <v>2151494981968</v>
      </c>
      <c r="J29" s="3">
        <v>2794452671851</v>
      </c>
      <c r="K29" s="3">
        <v>294325560054</v>
      </c>
      <c r="L29" s="3">
        <v>791805681957</v>
      </c>
      <c r="M29" s="4"/>
    </row>
    <row r="30" spans="1:13" x14ac:dyDescent="0.25">
      <c r="A30" s="1"/>
      <c r="B30" s="12">
        <v>2022</v>
      </c>
      <c r="C30" s="3">
        <v>2746153295147</v>
      </c>
      <c r="D30" s="3">
        <v>3239231499990</v>
      </c>
      <c r="E30" s="3">
        <f>4682381683+211808669996</f>
        <v>216491051679</v>
      </c>
      <c r="F30" s="3">
        <f>1353749096+210851214207</f>
        <v>212204963303</v>
      </c>
      <c r="G30" s="3">
        <v>1829176330361</v>
      </c>
      <c r="H30" s="3">
        <v>2146288274787</v>
      </c>
      <c r="I30" s="3">
        <v>2794452671851</v>
      </c>
      <c r="J30" s="3">
        <v>3138054094849</v>
      </c>
      <c r="K30" s="3">
        <v>336138349494</v>
      </c>
      <c r="L30" s="3">
        <v>919207028563</v>
      </c>
      <c r="M30" s="4"/>
    </row>
    <row r="31" spans="1:13" x14ac:dyDescent="0.25">
      <c r="A31" s="1"/>
      <c r="B31" s="12">
        <v>2023</v>
      </c>
      <c r="C31" s="3">
        <v>3239231499990</v>
      </c>
      <c r="D31" s="3">
        <v>3303922519911</v>
      </c>
      <c r="E31" s="3">
        <f>1353749096+210851214207</f>
        <v>212204963303</v>
      </c>
      <c r="F31" s="3">
        <f>212774393809+2750032541</f>
        <v>215524426350</v>
      </c>
      <c r="G31" s="3">
        <v>1874980658152</v>
      </c>
      <c r="H31" s="3">
        <v>2319418975917</v>
      </c>
      <c r="I31" s="3">
        <v>3138054094849</v>
      </c>
      <c r="J31" s="3">
        <v>2658520983180</v>
      </c>
      <c r="K31" s="3">
        <v>178658341906</v>
      </c>
      <c r="L31" s="3">
        <v>686668155424</v>
      </c>
      <c r="M31" s="4"/>
    </row>
    <row r="32" spans="1:13" x14ac:dyDescent="0.25">
      <c r="A32" s="1" t="s">
        <v>12</v>
      </c>
      <c r="B32" s="12">
        <v>2021</v>
      </c>
      <c r="C32" s="3">
        <v>8509017299594</v>
      </c>
      <c r="D32" s="3">
        <v>9082511044439</v>
      </c>
      <c r="E32" s="3">
        <f>413057690355+219680373484+18740129445</f>
        <v>651478193284</v>
      </c>
      <c r="F32" s="3">
        <f>390684466545+424158422749+28448684113</f>
        <v>843291573407</v>
      </c>
      <c r="G32" s="3">
        <v>3183936637664</v>
      </c>
      <c r="H32" s="3">
        <v>3484810937660</v>
      </c>
      <c r="I32" s="3">
        <v>4803359291718</v>
      </c>
      <c r="J32" s="3">
        <v>4458987837356</v>
      </c>
      <c r="K32" s="3">
        <v>81433957569</v>
      </c>
      <c r="L32" s="3">
        <v>35025515989</v>
      </c>
      <c r="M32" s="4"/>
    </row>
    <row r="33" spans="1:13" x14ac:dyDescent="0.25">
      <c r="A33" s="1"/>
      <c r="B33" s="12">
        <v>2022</v>
      </c>
      <c r="C33" s="3">
        <v>9082511044439</v>
      </c>
      <c r="D33" s="3">
        <v>9447528704261</v>
      </c>
      <c r="E33" s="3">
        <f>390684466545+424158422749+28448684113</f>
        <v>843291573407</v>
      </c>
      <c r="F33" s="3">
        <f>20217692953+310954892366+487561266566</f>
        <v>818733851885</v>
      </c>
      <c r="G33" s="3">
        <v>3045751191074</v>
      </c>
      <c r="H33" s="3">
        <v>3637820526411</v>
      </c>
      <c r="I33" s="3">
        <v>4458987837356</v>
      </c>
      <c r="J33" s="3">
        <v>6003788032167</v>
      </c>
      <c r="K33" s="3">
        <v>171060047099</v>
      </c>
      <c r="L33" s="3">
        <v>25538790864</v>
      </c>
      <c r="M33" s="4"/>
    </row>
    <row r="34" spans="1:13" x14ac:dyDescent="0.25">
      <c r="A34" s="1"/>
      <c r="B34" s="12">
        <v>2023</v>
      </c>
      <c r="C34" s="3">
        <v>9447528704261</v>
      </c>
      <c r="D34" s="3">
        <v>7631670664176</v>
      </c>
      <c r="E34" s="3">
        <f>20217692953+310954892366+487561266566</f>
        <v>818733851885</v>
      </c>
      <c r="F34" s="3">
        <f>533726022022+424250739481+18861836892</f>
        <v>976838598395</v>
      </c>
      <c r="G34" s="3">
        <v>3003465305734</v>
      </c>
      <c r="H34" s="3">
        <v>3626109986520</v>
      </c>
      <c r="I34" s="3">
        <v>6003788032167</v>
      </c>
      <c r="J34" s="3">
        <v>4203170642940</v>
      </c>
      <c r="K34" s="3">
        <v>19816764969</v>
      </c>
      <c r="L34" s="3">
        <v>95468547670</v>
      </c>
      <c r="M34" s="4"/>
    </row>
    <row r="35" spans="1:13" x14ac:dyDescent="0.25">
      <c r="A35" s="1" t="s">
        <v>13</v>
      </c>
      <c r="B35" s="12">
        <v>2021</v>
      </c>
      <c r="C35" s="3">
        <v>2421301079000</v>
      </c>
      <c r="D35" s="3">
        <v>2795959663000</v>
      </c>
      <c r="E35" s="3">
        <f>234035914000+30891078000+4986510000+2751589000</f>
        <v>272665091000</v>
      </c>
      <c r="F35" s="3">
        <f>285649542000+38937027000+4953709000+611828000</f>
        <v>330152106000</v>
      </c>
      <c r="G35" s="3">
        <v>1017327697000</v>
      </c>
      <c r="H35" s="3">
        <v>2295611941000</v>
      </c>
      <c r="I35" s="3">
        <v>3870552460000</v>
      </c>
      <c r="J35" s="3">
        <v>4441512773000</v>
      </c>
      <c r="K35" s="3">
        <v>416209347000</v>
      </c>
      <c r="L35" s="3">
        <v>142033597000</v>
      </c>
      <c r="M35" s="4"/>
    </row>
    <row r="36" spans="1:13" x14ac:dyDescent="0.25">
      <c r="A36" s="1"/>
      <c r="B36" s="12">
        <v>2022</v>
      </c>
      <c r="C36" s="3">
        <v>2795959663000</v>
      </c>
      <c r="D36" s="3">
        <v>3040363137000</v>
      </c>
      <c r="E36" s="3">
        <f>285649542000+38937027000+4953709000+611828000</f>
        <v>330152106000</v>
      </c>
      <c r="F36" s="3">
        <f>309536353000+29473876000+3893139000+162090000</f>
        <v>343065458000</v>
      </c>
      <c r="G36" s="3">
        <v>1061752620000</v>
      </c>
      <c r="H36" s="3">
        <v>2446027106000</v>
      </c>
      <c r="I36" s="3">
        <v>4441512773000</v>
      </c>
      <c r="J36" s="3">
        <v>5030424255000</v>
      </c>
      <c r="K36" s="3">
        <v>354901190000</v>
      </c>
      <c r="L36" s="3">
        <v>209776561000</v>
      </c>
      <c r="M36" s="4"/>
    </row>
    <row r="37" spans="1:13" x14ac:dyDescent="0.25">
      <c r="A37" s="1"/>
      <c r="B37" s="12">
        <v>2023</v>
      </c>
      <c r="C37" s="3">
        <v>3040363137000</v>
      </c>
      <c r="D37" s="3">
        <v>3196352644000</v>
      </c>
      <c r="E37" s="3">
        <f>309536353000+29473876000+3893139000+162090000</f>
        <v>343065458000</v>
      </c>
      <c r="F37" s="3">
        <f>335700935000+24752981000+5280044+422730000</f>
        <v>360881926044</v>
      </c>
      <c r="G37" s="3">
        <v>1093886622000</v>
      </c>
      <c r="H37" s="3">
        <v>2630524565000</v>
      </c>
      <c r="I37" s="3">
        <v>5030424255000</v>
      </c>
      <c r="J37" s="3">
        <v>4703224343000</v>
      </c>
      <c r="K37" s="3">
        <v>375985161000</v>
      </c>
      <c r="L37" s="3">
        <v>508727345000</v>
      </c>
      <c r="M37" s="4"/>
    </row>
    <row r="38" spans="1:13" x14ac:dyDescent="0.25">
      <c r="A38" s="1" t="s">
        <v>14</v>
      </c>
      <c r="B38" s="12">
        <v>2021</v>
      </c>
      <c r="C38" s="3">
        <v>1134528730678</v>
      </c>
      <c r="D38" s="3">
        <v>1008502142233</v>
      </c>
      <c r="E38" s="3">
        <f>75394746485+1413139300</f>
        <v>76807885785</v>
      </c>
      <c r="F38" s="3">
        <f>58039682935+2192974067+6673750060</f>
        <v>66906407062</v>
      </c>
      <c r="G38" s="3">
        <v>361279611835</v>
      </c>
      <c r="H38" s="3">
        <v>637696066531</v>
      </c>
      <c r="I38" s="3">
        <v>396573481850</v>
      </c>
      <c r="J38" s="3">
        <v>906259459175</v>
      </c>
      <c r="K38" s="3">
        <v>159076942627</v>
      </c>
      <c r="L38" s="3">
        <v>120613302478</v>
      </c>
      <c r="M38" s="4"/>
    </row>
    <row r="39" spans="1:13" x14ac:dyDescent="0.25">
      <c r="A39" s="1"/>
      <c r="B39" s="12">
        <v>2022</v>
      </c>
      <c r="C39" s="3">
        <v>1008502142233</v>
      </c>
      <c r="D39" s="3">
        <v>1091201798908</v>
      </c>
      <c r="E39" s="3">
        <f>58039682935+2192974067+6673750060</f>
        <v>66906407062</v>
      </c>
      <c r="F39" s="3">
        <f>71355940179+3992893466+10264380372</f>
        <v>85613214017</v>
      </c>
      <c r="G39" s="3">
        <v>372018456839</v>
      </c>
      <c r="H39" s="3">
        <v>777998198491</v>
      </c>
      <c r="I39" s="3">
        <v>906259459175</v>
      </c>
      <c r="J39" s="3">
        <v>939031325558</v>
      </c>
      <c r="K39" s="3">
        <v>197694385018</v>
      </c>
      <c r="L39" s="3">
        <v>156359698181</v>
      </c>
      <c r="M39" s="4"/>
    </row>
    <row r="40" spans="1:13" x14ac:dyDescent="0.25">
      <c r="A40" s="1"/>
      <c r="B40" s="12">
        <v>2023</v>
      </c>
      <c r="C40" s="3">
        <v>1091201798908</v>
      </c>
      <c r="D40" s="3">
        <v>1072483806616</v>
      </c>
      <c r="E40" s="3">
        <f>71355940179+3992893466+10264380372</f>
        <v>85613214017</v>
      </c>
      <c r="F40" s="3">
        <f>197247270558+48594028414+3964575602+6233790733</f>
        <v>256039665307</v>
      </c>
      <c r="G40" s="3">
        <v>364406193214</v>
      </c>
      <c r="H40" s="3">
        <v>785885059426</v>
      </c>
      <c r="I40" s="3">
        <v>939031325558</v>
      </c>
      <c r="J40" s="3">
        <v>1433217403117</v>
      </c>
      <c r="K40" s="3">
        <v>220358607610</v>
      </c>
      <c r="L40" s="3">
        <v>295069915490</v>
      </c>
      <c r="M40" s="4"/>
    </row>
    <row r="41" spans="1:13" x14ac:dyDescent="0.25">
      <c r="A41" s="1" t="s">
        <v>15</v>
      </c>
      <c r="B41" s="12">
        <v>2021</v>
      </c>
      <c r="C41" s="3">
        <v>1342071492913</v>
      </c>
      <c r="D41" s="3">
        <v>1763123879245</v>
      </c>
      <c r="E41" s="3">
        <f>544454107410+22322574250+403801389</f>
        <v>567180483049</v>
      </c>
      <c r="F41" s="3">
        <f>478661170493+24912546962</f>
        <v>503573717455</v>
      </c>
      <c r="G41" s="3">
        <v>309524775723</v>
      </c>
      <c r="H41" s="3">
        <v>862210927756</v>
      </c>
      <c r="I41" s="3">
        <v>1409226181520</v>
      </c>
      <c r="J41" s="3">
        <v>1852362345299</v>
      </c>
      <c r="K41" s="3">
        <v>171146039488</v>
      </c>
      <c r="L41" s="3">
        <v>-33523347183</v>
      </c>
      <c r="M41" s="4"/>
    </row>
    <row r="42" spans="1:13" x14ac:dyDescent="0.25">
      <c r="A42" s="1"/>
      <c r="B42" s="12">
        <v>2022</v>
      </c>
      <c r="C42" s="3">
        <v>1763123879245</v>
      </c>
      <c r="D42" s="3">
        <v>3097781579099</v>
      </c>
      <c r="E42" s="3">
        <f>478661170493+24912546962</f>
        <v>503573717455</v>
      </c>
      <c r="F42" s="3">
        <f>562435652854+38564446417</f>
        <v>601000099271</v>
      </c>
      <c r="G42" s="3">
        <v>378737389609</v>
      </c>
      <c r="H42" s="3">
        <v>1120320170051</v>
      </c>
      <c r="I42" s="3">
        <v>1852362345299</v>
      </c>
      <c r="J42" s="3">
        <v>3689403867254</v>
      </c>
      <c r="K42" s="3">
        <v>345992311458</v>
      </c>
      <c r="L42" s="3">
        <v>93102084321</v>
      </c>
      <c r="M42" s="4"/>
    </row>
    <row r="43" spans="1:13" x14ac:dyDescent="0.25">
      <c r="A43" s="1"/>
      <c r="B43" s="12">
        <v>2023</v>
      </c>
      <c r="C43" s="3">
        <v>3097781579099</v>
      </c>
      <c r="D43" s="3">
        <v>2793664505857</v>
      </c>
      <c r="E43" s="3">
        <f>562435652854+38564446417</f>
        <v>601000099271</v>
      </c>
      <c r="F43" s="3">
        <f>778061199839+29382866542</f>
        <v>807444066381</v>
      </c>
      <c r="G43" s="3">
        <v>391553802563</v>
      </c>
      <c r="H43" s="3">
        <v>1380076795346</v>
      </c>
      <c r="I43" s="3">
        <v>3689403867254</v>
      </c>
      <c r="J43" s="3">
        <v>4463507984781</v>
      </c>
      <c r="K43" s="3">
        <v>420077400658</v>
      </c>
      <c r="L43" s="3">
        <v>77381363245</v>
      </c>
      <c r="M43" s="4"/>
    </row>
    <row r="44" spans="1:13" x14ac:dyDescent="0.25">
      <c r="A44" s="1" t="s">
        <v>16</v>
      </c>
      <c r="B44" s="12">
        <v>2021</v>
      </c>
      <c r="C44" s="3">
        <v>406998941725</v>
      </c>
      <c r="D44" s="3">
        <v>728297403603</v>
      </c>
      <c r="E44" s="3">
        <f>548859950+7480410993</f>
        <v>8029270943</v>
      </c>
      <c r="F44" s="3">
        <f>8138120599+47233021550</f>
        <v>55371142149</v>
      </c>
      <c r="G44" s="3">
        <v>205564148053</v>
      </c>
      <c r="H44" s="3">
        <v>681847001891</v>
      </c>
      <c r="I44" s="3">
        <v>110697288392</v>
      </c>
      <c r="J44" s="3">
        <v>459401131769</v>
      </c>
      <c r="K44" s="3">
        <v>110071266039</v>
      </c>
      <c r="L44" s="3">
        <v>70947793503</v>
      </c>
      <c r="M44" s="4"/>
    </row>
    <row r="45" spans="1:13" x14ac:dyDescent="0.25">
      <c r="A45" s="1"/>
      <c r="B45" s="12">
        <v>2022</v>
      </c>
      <c r="C45" s="3">
        <v>728297403603</v>
      </c>
      <c r="D45" s="3">
        <v>816796722522</v>
      </c>
      <c r="E45" s="3">
        <f>8138120599+47233021550</f>
        <v>55371142149</v>
      </c>
      <c r="F45" s="3">
        <f>11967728457+74310727952</f>
        <v>86278456409</v>
      </c>
      <c r="G45" s="3">
        <v>276014531519</v>
      </c>
      <c r="H45" s="3">
        <v>771794613685</v>
      </c>
      <c r="I45" s="3">
        <v>459401131769</v>
      </c>
      <c r="J45" s="3">
        <v>647964319677</v>
      </c>
      <c r="K45" s="3">
        <v>122919207172</v>
      </c>
      <c r="L45" s="3">
        <v>89316352664</v>
      </c>
      <c r="M45" s="4"/>
    </row>
    <row r="46" spans="1:13" x14ac:dyDescent="0.25">
      <c r="A46" s="1"/>
      <c r="B46" s="12">
        <v>2023</v>
      </c>
      <c r="C46" s="3">
        <v>816796722522</v>
      </c>
      <c r="D46" s="3">
        <v>900366532407</v>
      </c>
      <c r="E46" s="3">
        <f>11967728457+74310727952</f>
        <v>86278456409</v>
      </c>
      <c r="F46" s="3">
        <f>95670000+14220576145</f>
        <v>14316246145</v>
      </c>
      <c r="G46" s="3">
        <v>474028578024</v>
      </c>
      <c r="H46" s="3">
        <v>815627984652</v>
      </c>
      <c r="I46" s="3">
        <v>647964319677</v>
      </c>
      <c r="J46" s="3">
        <v>401910300386</v>
      </c>
      <c r="K46" s="3">
        <v>43816428957</v>
      </c>
      <c r="L46" s="3">
        <v>10353618399</v>
      </c>
      <c r="M46" s="4"/>
    </row>
    <row r="47" spans="1:13" x14ac:dyDescent="0.25">
      <c r="A47" s="1" t="s">
        <v>17</v>
      </c>
      <c r="B47" s="12">
        <v>2021</v>
      </c>
      <c r="C47" s="3">
        <v>5870885000000</v>
      </c>
      <c r="D47" s="3">
        <v>10873760000000</v>
      </c>
      <c r="E47" s="3">
        <f>8136963657+992501710177+34170145108+11449962249</f>
        <v>1046258781191</v>
      </c>
      <c r="F47" s="3">
        <f>15489000000+1150535000000+27765000000+80472000000</f>
        <v>1274261000000</v>
      </c>
      <c r="G47" s="3">
        <v>1551224000000</v>
      </c>
      <c r="H47" s="3">
        <v>9415620000000</v>
      </c>
      <c r="I47" s="3">
        <v>5731260683244</v>
      </c>
      <c r="J47" s="3">
        <v>6779643000000</v>
      </c>
      <c r="K47" s="3">
        <v>1434551000000</v>
      </c>
      <c r="L47" s="3">
        <v>1271999000000</v>
      </c>
      <c r="M47" s="4"/>
    </row>
    <row r="48" spans="1:13" x14ac:dyDescent="0.25">
      <c r="A48" s="1"/>
      <c r="B48" s="12">
        <v>2022</v>
      </c>
      <c r="C48" s="3">
        <v>10873760000000</v>
      </c>
      <c r="D48" s="3">
        <v>10792122000000</v>
      </c>
      <c r="E48" s="3">
        <f>15489000000+1150535000000+27765000000+80472000000</f>
        <v>1274261000000</v>
      </c>
      <c r="F48" s="3">
        <f>11192000000+1062461000000+35960000000+67602000000</f>
        <v>1177215000000</v>
      </c>
      <c r="G48" s="3">
        <v>1588086000000</v>
      </c>
      <c r="H48" s="3">
        <v>9574885000000</v>
      </c>
      <c r="I48" s="3">
        <v>6779643000000</v>
      </c>
      <c r="J48" s="3">
        <v>6694171000000</v>
      </c>
      <c r="K48" s="3">
        <v>1400365000000</v>
      </c>
      <c r="L48" s="3">
        <v>1461499000000</v>
      </c>
      <c r="M48" s="4"/>
    </row>
    <row r="49" spans="1:14" x14ac:dyDescent="0.25">
      <c r="A49" s="1"/>
      <c r="B49" s="12">
        <v>2023</v>
      </c>
      <c r="C49" s="3">
        <v>10792122000000</v>
      </c>
      <c r="D49" s="3">
        <v>11166987000000</v>
      </c>
      <c r="E49" s="3">
        <f>11192000000+1062461000000+35960000000+67602000000</f>
        <v>1177215000000</v>
      </c>
      <c r="F49" s="3">
        <f>14018000000+1229025000000+56538000000+49331000000</f>
        <v>1348912000000</v>
      </c>
      <c r="G49" s="3">
        <v>1659163000000</v>
      </c>
      <c r="H49" s="3">
        <v>9921489000000</v>
      </c>
      <c r="I49" s="3">
        <v>6694171000000</v>
      </c>
      <c r="J49" s="3">
        <v>7016882000000</v>
      </c>
      <c r="K49" s="3">
        <v>1643096000000</v>
      </c>
      <c r="L49" s="3">
        <v>1585535000000</v>
      </c>
      <c r="M49" s="4"/>
    </row>
    <row r="50" spans="1:14" x14ac:dyDescent="0.25">
      <c r="A50" s="2" t="s">
        <v>18</v>
      </c>
      <c r="B50" s="12">
        <v>2021</v>
      </c>
      <c r="C50" s="3">
        <v>27781231000000</v>
      </c>
      <c r="D50" s="3">
        <v>30399906000000</v>
      </c>
      <c r="E50" s="3">
        <f>391189000000+374660000000+620750000000+3385000000</f>
        <v>1389984000000</v>
      </c>
      <c r="F50" s="3">
        <f>236336000000+221799000000+124860000000+1222000000</f>
        <v>584217000000</v>
      </c>
      <c r="G50" s="3">
        <v>9172225000000</v>
      </c>
      <c r="H50" s="3">
        <v>21171173000000</v>
      </c>
      <c r="I50" s="3">
        <v>18807043000000</v>
      </c>
      <c r="J50" s="3">
        <v>24322048000000</v>
      </c>
      <c r="K50" s="3">
        <v>2067362000000</v>
      </c>
      <c r="L50" s="3">
        <v>4895119000000</v>
      </c>
      <c r="M50" s="4"/>
    </row>
    <row r="51" spans="1:14" x14ac:dyDescent="0.25">
      <c r="A51" s="2"/>
      <c r="B51" s="12">
        <v>2022</v>
      </c>
      <c r="C51" s="3">
        <v>30399906000000</v>
      </c>
      <c r="D51" s="3">
        <v>29249340000000</v>
      </c>
      <c r="E51" s="3">
        <f>236336000000+221799000000+124860000000+1222000000</f>
        <v>584217000000</v>
      </c>
      <c r="F51" s="3">
        <f>484846000000+363924000000+42279000000+7381000000</f>
        <v>898430000000</v>
      </c>
      <c r="G51" s="3">
        <v>9104799000000</v>
      </c>
      <c r="H51" s="3">
        <v>22243221000000</v>
      </c>
      <c r="I51" s="3">
        <v>24322048000000</v>
      </c>
      <c r="J51" s="3">
        <v>21828591000000</v>
      </c>
      <c r="K51" s="3">
        <v>1792050000000</v>
      </c>
      <c r="L51" s="3">
        <v>1835397000000</v>
      </c>
      <c r="M51" s="4"/>
    </row>
    <row r="52" spans="1:14" x14ac:dyDescent="0.25">
      <c r="A52" s="2"/>
      <c r="B52" s="12">
        <v>2023</v>
      </c>
      <c r="C52" s="3">
        <v>29249340000000</v>
      </c>
      <c r="D52" s="3">
        <v>28846243000000</v>
      </c>
      <c r="E52" s="3">
        <f>484846000000+363924000000+42279000000+7381000000</f>
        <v>898430000000</v>
      </c>
      <c r="F52" s="3">
        <f>140480000000+534007000000+204291000000</f>
        <v>878778000000</v>
      </c>
      <c r="G52" s="3">
        <v>8982236000000</v>
      </c>
      <c r="H52" s="3">
        <v>22566006000000</v>
      </c>
      <c r="I52" s="3">
        <v>21828591000000</v>
      </c>
      <c r="J52" s="3">
        <v>20745473000000</v>
      </c>
      <c r="K52" s="3">
        <v>1088170000000</v>
      </c>
      <c r="L52" s="3">
        <v>2538738000000</v>
      </c>
      <c r="M52" s="4"/>
    </row>
    <row r="53" spans="1:14" x14ac:dyDescent="0.25">
      <c r="A53" s="2" t="s">
        <v>19</v>
      </c>
      <c r="B53" s="12">
        <v>2021</v>
      </c>
      <c r="C53" s="3">
        <v>958791000000</v>
      </c>
      <c r="D53" s="3">
        <v>1304108000000</v>
      </c>
      <c r="E53" s="3">
        <f>119610000000+2159000000</f>
        <v>121769000000</v>
      </c>
      <c r="F53" s="3">
        <f>162895000000+2878000000</f>
        <v>165773000000</v>
      </c>
      <c r="G53" s="3">
        <v>503588000000</v>
      </c>
      <c r="H53" s="3">
        <v>969817000000</v>
      </c>
      <c r="I53" s="3">
        <v>673364000000</v>
      </c>
      <c r="J53" s="3">
        <v>935075000000</v>
      </c>
      <c r="K53" s="3">
        <v>265758000000</v>
      </c>
      <c r="L53" s="3">
        <v>308341000000</v>
      </c>
      <c r="M53" s="4"/>
    </row>
    <row r="54" spans="1:14" x14ac:dyDescent="0.25">
      <c r="A54" s="2"/>
      <c r="B54" s="12">
        <v>2022</v>
      </c>
      <c r="C54" s="3">
        <v>1304108000000</v>
      </c>
      <c r="D54" s="3">
        <v>1645582000000</v>
      </c>
      <c r="E54" s="3">
        <f>162895000000+2878000000</f>
        <v>165773000000</v>
      </c>
      <c r="F54" s="3">
        <f>188937000000+2474000000</f>
        <v>191411000000</v>
      </c>
      <c r="G54" s="3">
        <v>708363000000</v>
      </c>
      <c r="H54" s="3">
        <v>1334836000000</v>
      </c>
      <c r="I54" s="3">
        <v>935075000000</v>
      </c>
      <c r="J54" s="3">
        <v>1290992000000</v>
      </c>
      <c r="K54" s="3">
        <v>364972000000</v>
      </c>
      <c r="L54" s="3">
        <v>312748000000</v>
      </c>
      <c r="M54" s="4"/>
    </row>
    <row r="55" spans="1:14" x14ac:dyDescent="0.25">
      <c r="A55" s="2"/>
      <c r="B55" s="12">
        <v>2023</v>
      </c>
      <c r="C55" s="3">
        <v>1645582000000</v>
      </c>
      <c r="D55" s="3">
        <v>2085182000000</v>
      </c>
      <c r="E55" s="3">
        <f>188937000000+2474000000</f>
        <v>191411000000</v>
      </c>
      <c r="F55" s="3">
        <f>222758000000+6244000000</f>
        <v>229002000000</v>
      </c>
      <c r="G55" s="3">
        <v>745409000000</v>
      </c>
      <c r="H55" s="3">
        <v>1729808000000</v>
      </c>
      <c r="I55" s="3">
        <v>1290992000000</v>
      </c>
      <c r="J55" s="3">
        <v>1525445000000</v>
      </c>
      <c r="K55" s="3">
        <v>395798000000</v>
      </c>
      <c r="L55" s="3">
        <v>459648000000</v>
      </c>
      <c r="M55" s="4"/>
    </row>
    <row r="56" spans="1:14" x14ac:dyDescent="0.25">
      <c r="A56" s="2" t="s">
        <v>20</v>
      </c>
      <c r="B56" s="12">
        <v>2021</v>
      </c>
      <c r="C56" s="3">
        <v>2914979000000</v>
      </c>
      <c r="D56" s="3">
        <v>3132202000000</v>
      </c>
      <c r="E56" s="3">
        <f>667410000000+11142000000+2401000000</f>
        <v>680953000000</v>
      </c>
      <c r="F56" s="3">
        <f>533688000000+3324000000+7268000000</f>
        <v>544280000000</v>
      </c>
      <c r="G56" s="3">
        <v>497760000000</v>
      </c>
      <c r="H56" s="3">
        <v>2728045000000</v>
      </c>
      <c r="I56" s="3">
        <v>1812762000000</v>
      </c>
      <c r="J56" s="3">
        <v>2015138000000</v>
      </c>
      <c r="K56" s="3">
        <v>380992000000</v>
      </c>
      <c r="L56" s="3">
        <v>652538000000</v>
      </c>
      <c r="M56" s="4"/>
    </row>
    <row r="57" spans="1:14" x14ac:dyDescent="0.25">
      <c r="A57" s="2"/>
      <c r="B57" s="12">
        <v>2022</v>
      </c>
      <c r="C57" s="3">
        <v>3132202000000</v>
      </c>
      <c r="D57" s="3">
        <v>3410481000000</v>
      </c>
      <c r="E57" s="3">
        <f>533688000000+3324000000+7268000000</f>
        <v>544280000000</v>
      </c>
      <c r="F57" s="3">
        <f>413255000000+1960000000+11113000000</f>
        <v>426328000000</v>
      </c>
      <c r="G57" s="3">
        <v>515181000000</v>
      </c>
      <c r="H57" s="3">
        <v>3050250000000</v>
      </c>
      <c r="I57" s="3">
        <v>2015138000000</v>
      </c>
      <c r="J57" s="3">
        <v>2415592000000</v>
      </c>
      <c r="K57" s="3">
        <v>523242000000</v>
      </c>
      <c r="L57" s="3">
        <v>668145000000</v>
      </c>
      <c r="M57" s="4"/>
    </row>
    <row r="58" spans="1:14" x14ac:dyDescent="0.25">
      <c r="A58" s="2"/>
      <c r="B58" s="12">
        <v>2023</v>
      </c>
      <c r="C58" s="3">
        <v>3410481000000</v>
      </c>
      <c r="D58" s="3">
        <v>3901820000000</v>
      </c>
      <c r="E58" s="3">
        <f>413255000000+1960000000+11113000000</f>
        <v>426328000000</v>
      </c>
      <c r="F58" s="3">
        <f>1009143000000+1659000000+12043000000</f>
        <v>1022845000000</v>
      </c>
      <c r="G58" s="3">
        <v>721419000000</v>
      </c>
      <c r="H58" s="3">
        <v>3446696000000</v>
      </c>
      <c r="I58" s="3">
        <v>2415592000000</v>
      </c>
      <c r="J58" s="3">
        <v>2298131000000</v>
      </c>
      <c r="K58" s="3">
        <v>595740000000</v>
      </c>
      <c r="L58" s="3">
        <v>42910000000</v>
      </c>
      <c r="M58" s="4"/>
    </row>
    <row r="59" spans="1:14" x14ac:dyDescent="0.25">
      <c r="A59" s="2" t="s">
        <v>21</v>
      </c>
      <c r="B59" s="12">
        <v>2021</v>
      </c>
      <c r="C59" s="3">
        <v>1566673828068</v>
      </c>
      <c r="D59" s="3">
        <v>1697387196209</v>
      </c>
      <c r="E59" s="3">
        <f>119694603388+296898154464+700314377</f>
        <v>417293072229</v>
      </c>
      <c r="F59" s="3">
        <f>231747886364+331162815173+2147106470+133048209</f>
        <v>565190856216</v>
      </c>
      <c r="G59" s="3">
        <v>236062886495</v>
      </c>
      <c r="H59" s="3">
        <v>1387366962835</v>
      </c>
      <c r="I59" s="3">
        <v>3634297273749</v>
      </c>
      <c r="J59" s="3">
        <v>5359440530374</v>
      </c>
      <c r="K59" s="3">
        <v>187066990085</v>
      </c>
      <c r="L59" s="3">
        <v>-91481686113</v>
      </c>
      <c r="M59" s="4"/>
      <c r="N59" s="50" t="s">
        <v>41</v>
      </c>
    </row>
    <row r="60" spans="1:14" x14ac:dyDescent="0.25">
      <c r="A60" s="2"/>
      <c r="B60" s="12">
        <v>2022</v>
      </c>
      <c r="C60" s="3">
        <v>1697387196209</v>
      </c>
      <c r="D60" s="3">
        <v>1718287453575</v>
      </c>
      <c r="E60" s="3">
        <f>231747886364+331162815173+2147106470+133048209</f>
        <v>565190856216</v>
      </c>
      <c r="F60" s="3">
        <f>192708209797+650796429735+3148103827+34438444</f>
        <v>846687181803</v>
      </c>
      <c r="G60" s="3">
        <v>269389502266</v>
      </c>
      <c r="H60" s="3">
        <v>1550042869748</v>
      </c>
      <c r="I60" s="3">
        <v>5359440530374</v>
      </c>
      <c r="J60" s="3">
        <v>6143759424928</v>
      </c>
      <c r="K60" s="3">
        <v>220704543072</v>
      </c>
      <c r="L60" s="3">
        <v>11867530566</v>
      </c>
      <c r="M60" s="4"/>
      <c r="N60" s="50"/>
    </row>
    <row r="61" spans="1:14" x14ac:dyDescent="0.25">
      <c r="A61" s="2"/>
      <c r="B61" s="12">
        <v>2023</v>
      </c>
      <c r="C61" s="3">
        <v>1718287453575</v>
      </c>
      <c r="D61" s="3">
        <v>1893560797758</v>
      </c>
      <c r="E61" s="3">
        <f>192708209797+650796429735+3148103827+34438444</f>
        <v>846687181803</v>
      </c>
      <c r="F61" s="3">
        <f>391665995268+232322877766+795493898</f>
        <v>624784366932</v>
      </c>
      <c r="G61" s="3">
        <v>258287485636</v>
      </c>
      <c r="H61" s="3">
        <v>1642285662293</v>
      </c>
      <c r="I61" s="3">
        <v>6143759424928</v>
      </c>
      <c r="J61" s="3">
        <v>6337428625946</v>
      </c>
      <c r="K61" s="3">
        <v>153574779624</v>
      </c>
      <c r="L61" s="3">
        <v>542472806836</v>
      </c>
      <c r="M61" s="4"/>
      <c r="N61" s="50"/>
    </row>
    <row r="62" spans="1:14" x14ac:dyDescent="0.25">
      <c r="A62" s="2" t="s">
        <v>22</v>
      </c>
      <c r="B62" s="12">
        <v>2021</v>
      </c>
      <c r="C62" s="3">
        <v>31159291000000</v>
      </c>
      <c r="D62" s="3">
        <v>35446051000000</v>
      </c>
      <c r="E62" s="3">
        <f>1834984000000+6024000000+136978000000</f>
        <v>1977986000000</v>
      </c>
      <c r="F62" s="3">
        <f>1633874000000+9828000000+150656000000</f>
        <v>1794358000000</v>
      </c>
      <c r="G62" s="3">
        <v>16255596000000</v>
      </c>
      <c r="H62" s="3">
        <v>25149999000000</v>
      </c>
      <c r="I62" s="3">
        <v>42518782000000</v>
      </c>
      <c r="J62" s="3">
        <v>51696249000000</v>
      </c>
      <c r="K62" s="3">
        <v>3619010000000</v>
      </c>
      <c r="L62" s="3">
        <v>2121905000000</v>
      </c>
      <c r="M62" s="4"/>
    </row>
    <row r="63" spans="1:14" x14ac:dyDescent="0.25">
      <c r="A63" s="2"/>
      <c r="B63" s="12">
        <v>2022</v>
      </c>
      <c r="C63" s="3">
        <v>35446051000000</v>
      </c>
      <c r="D63" s="3">
        <v>39847545000000</v>
      </c>
      <c r="E63" s="3">
        <f>1633874000000+9828000000+150656000000</f>
        <v>1794358000000</v>
      </c>
      <c r="F63" s="3">
        <f>1807854000000+12370000000+273614000000</f>
        <v>2093838000000</v>
      </c>
      <c r="G63" s="3">
        <v>17627978000000</v>
      </c>
      <c r="H63" s="3">
        <v>26327214000000</v>
      </c>
      <c r="I63" s="3">
        <v>51696249000000</v>
      </c>
      <c r="J63" s="3">
        <v>56867544000000</v>
      </c>
      <c r="K63" s="3">
        <v>2930357000000</v>
      </c>
      <c r="L63" s="3">
        <v>1673887000000</v>
      </c>
      <c r="M63" s="4"/>
    </row>
    <row r="64" spans="1:14" x14ac:dyDescent="0.25">
      <c r="A64" s="2"/>
      <c r="B64" s="12">
        <v>2023</v>
      </c>
      <c r="C64" s="3">
        <v>39847545000000</v>
      </c>
      <c r="D64" s="3">
        <v>40970800000000</v>
      </c>
      <c r="E64" s="3">
        <f>1807854000000+12370000000+273614000000</f>
        <v>2093838000000</v>
      </c>
      <c r="F64" s="3">
        <f>1650437000000+57472000000+119548000000</f>
        <v>1827457000000</v>
      </c>
      <c r="G64" s="3">
        <v>17690442000000</v>
      </c>
      <c r="H64" s="3">
        <v>27028758000000</v>
      </c>
      <c r="I64" s="3">
        <v>56867544000000</v>
      </c>
      <c r="J64" s="3">
        <v>61615850000000</v>
      </c>
      <c r="K64" s="3">
        <v>2318088000000</v>
      </c>
      <c r="L64" s="3">
        <v>3146254000000</v>
      </c>
      <c r="M64" s="4"/>
    </row>
    <row r="65" spans="1:13" x14ac:dyDescent="0.25">
      <c r="A65" s="2" t="s">
        <v>23</v>
      </c>
      <c r="B65" s="12">
        <v>2021</v>
      </c>
      <c r="C65" s="3">
        <v>14151383000000</v>
      </c>
      <c r="D65" s="3">
        <v>13712160000000</v>
      </c>
      <c r="E65" s="3">
        <f>381764000000+16137000000</f>
        <v>397901000000</v>
      </c>
      <c r="F65" s="3">
        <f>249662000000+19685000000</f>
        <v>269347000000</v>
      </c>
      <c r="G65" s="3">
        <v>5921799000000</v>
      </c>
      <c r="H65" s="3">
        <v>7025463000000</v>
      </c>
      <c r="I65" s="3">
        <v>6698918000000</v>
      </c>
      <c r="J65" s="3">
        <v>7124495000000</v>
      </c>
      <c r="K65" s="3">
        <v>739649000000</v>
      </c>
      <c r="L65" s="3">
        <v>1055505000000</v>
      </c>
      <c r="M65" s="4"/>
    </row>
    <row r="66" spans="1:13" x14ac:dyDescent="0.25">
      <c r="A66" s="2"/>
      <c r="B66" s="12">
        <v>2022</v>
      </c>
      <c r="C66" s="3">
        <v>13712160000000</v>
      </c>
      <c r="D66" s="3">
        <v>15357229000000</v>
      </c>
      <c r="E66" s="3">
        <f>249662000000+19685000000</f>
        <v>269347000000</v>
      </c>
      <c r="F66" s="3">
        <f>460430000000+18523000000</f>
        <v>478953000000</v>
      </c>
      <c r="G66" s="3">
        <v>6678723000000</v>
      </c>
      <c r="H66" s="3">
        <v>8160140000000</v>
      </c>
      <c r="I66" s="3">
        <v>7124495000000</v>
      </c>
      <c r="J66" s="3">
        <v>9633671000000</v>
      </c>
      <c r="K66" s="3">
        <v>1206587000000</v>
      </c>
      <c r="L66" s="3">
        <v>1538027000000</v>
      </c>
      <c r="M66" s="4"/>
    </row>
    <row r="67" spans="1:13" x14ac:dyDescent="0.25">
      <c r="A67" s="2"/>
      <c r="B67" s="12">
        <v>2023</v>
      </c>
      <c r="C67" s="3">
        <v>15357229000000</v>
      </c>
      <c r="D67" s="3">
        <v>16178278000000</v>
      </c>
      <c r="E67" s="3">
        <f>460430000000+18523000000</f>
        <v>478953000000</v>
      </c>
      <c r="F67" s="3">
        <f>368754000000+16458000000</f>
        <v>385212000000</v>
      </c>
      <c r="G67" s="3">
        <v>7466649000000</v>
      </c>
      <c r="H67" s="3">
        <v>8889428000000</v>
      </c>
      <c r="I67" s="3">
        <v>9633671000000</v>
      </c>
      <c r="J67" s="3">
        <v>9498749000000</v>
      </c>
      <c r="K67" s="3">
        <v>841665000000</v>
      </c>
      <c r="L67" s="3">
        <v>1874372000000</v>
      </c>
      <c r="M67" s="4"/>
    </row>
    <row r="68" spans="1:13" x14ac:dyDescent="0.25">
      <c r="A68" s="2" t="s">
        <v>24</v>
      </c>
      <c r="B68" s="12">
        <v>2021</v>
      </c>
      <c r="C68" s="3">
        <v>49674030000000</v>
      </c>
      <c r="D68" s="3">
        <v>53090428000000</v>
      </c>
      <c r="E68" s="3">
        <f>3507586000000+140736000000+450703000000+2489000000</f>
        <v>4101514000000</v>
      </c>
      <c r="F68" s="3">
        <f>2175531000000+205262000000+489408000000+26398000000</f>
        <v>2896599000000</v>
      </c>
      <c r="G68" s="3">
        <v>6038643000000</v>
      </c>
      <c r="H68" s="3">
        <v>29191406000000</v>
      </c>
      <c r="I68" s="3">
        <v>92425210000000</v>
      </c>
      <c r="J68" s="3">
        <v>98874784000000</v>
      </c>
      <c r="K68" s="3">
        <v>7137097000000</v>
      </c>
      <c r="L68" s="3">
        <v>10302406000000</v>
      </c>
      <c r="M68" s="4"/>
    </row>
    <row r="69" spans="1:13" x14ac:dyDescent="0.25">
      <c r="A69" s="2"/>
      <c r="B69" s="12">
        <v>2022</v>
      </c>
      <c r="C69" s="3">
        <v>53090428000000</v>
      </c>
      <c r="D69" s="3">
        <v>54786992000000</v>
      </c>
      <c r="E69" s="3">
        <f>2175531000000+205262000000+489408000000+26398000000</f>
        <v>2896599000000</v>
      </c>
      <c r="F69" s="3">
        <f>2843594000000+102133000000+259687000000+188471000000</f>
        <v>3393885000000</v>
      </c>
      <c r="G69" s="3">
        <v>6697429000000</v>
      </c>
      <c r="H69" s="3">
        <v>28170168000000</v>
      </c>
      <c r="I69" s="3">
        <v>98874784000000</v>
      </c>
      <c r="J69" s="3">
        <v>111211321000000</v>
      </c>
      <c r="K69" s="3">
        <v>6323744000000</v>
      </c>
      <c r="L69" s="3">
        <v>7355336000000</v>
      </c>
      <c r="M69" s="4"/>
    </row>
    <row r="70" spans="1:13" x14ac:dyDescent="0.25">
      <c r="A70" s="2"/>
      <c r="B70" s="12">
        <v>2023</v>
      </c>
      <c r="C70" s="3">
        <v>54786992000000</v>
      </c>
      <c r="D70" s="3">
        <v>55316264000000</v>
      </c>
      <c r="E70" s="3">
        <f>2843594000000+102133000000+259687000000+188471000000</f>
        <v>3393885000000</v>
      </c>
      <c r="F70" s="3">
        <f>3148041000000+136660000000+235475000000+91553000000</f>
        <v>3611729000000</v>
      </c>
      <c r="G70" s="3">
        <v>9253277000000</v>
      </c>
      <c r="H70" s="3">
        <v>29869853000000</v>
      </c>
      <c r="I70" s="3">
        <v>111211321000000</v>
      </c>
      <c r="J70" s="3">
        <v>115983384000000</v>
      </c>
      <c r="K70" s="3">
        <v>8096811000000</v>
      </c>
      <c r="L70" s="3">
        <v>6282144000000</v>
      </c>
      <c r="M70" s="4"/>
    </row>
    <row r="71" spans="1:13" x14ac:dyDescent="0.25">
      <c r="A71" s="2" t="s">
        <v>25</v>
      </c>
      <c r="B71" s="12">
        <v>2021</v>
      </c>
      <c r="C71" s="3">
        <v>103588325000000</v>
      </c>
      <c r="D71" s="3">
        <v>118015311000000</v>
      </c>
      <c r="E71" s="3">
        <f>2380015000000+2893401000000+59349000000+413990000000</f>
        <v>5746755000000</v>
      </c>
      <c r="F71" s="3">
        <f>3066583000000+3334347000000+47505000000+385846000000</f>
        <v>6834281000000</v>
      </c>
      <c r="G71" s="3">
        <v>14175833000000</v>
      </c>
      <c r="H71" s="3">
        <v>54940607000000</v>
      </c>
      <c r="I71" s="3">
        <v>46641048000000</v>
      </c>
      <c r="J71" s="3">
        <v>56803733000000</v>
      </c>
      <c r="K71" s="3">
        <v>7911943000000</v>
      </c>
      <c r="L71" s="3">
        <v>7989039000000</v>
      </c>
      <c r="M71" s="4"/>
    </row>
    <row r="72" spans="1:13" x14ac:dyDescent="0.25">
      <c r="A72" s="2"/>
      <c r="B72" s="12">
        <v>2022</v>
      </c>
      <c r="C72" s="3">
        <v>118015311000000</v>
      </c>
      <c r="D72" s="3">
        <v>115305536000000</v>
      </c>
      <c r="E72" s="3">
        <f>3066583000000+3334347000000+47505000000+385846000000</f>
        <v>6834281000000</v>
      </c>
      <c r="F72" s="3">
        <f>3507566000000+3367938000000+120459000000+232201000000</f>
        <v>7228164000000</v>
      </c>
      <c r="G72" s="3">
        <v>14520941000000</v>
      </c>
      <c r="H72" s="3">
        <v>57473007000000</v>
      </c>
      <c r="I72" s="3">
        <v>56803733000000</v>
      </c>
      <c r="J72" s="3">
        <v>64797516000000</v>
      </c>
      <c r="K72" s="3">
        <v>5722194000000</v>
      </c>
      <c r="L72" s="3">
        <v>8804494000000</v>
      </c>
      <c r="M72" s="4"/>
    </row>
    <row r="73" spans="1:13" x14ac:dyDescent="0.25">
      <c r="A73" s="2"/>
      <c r="B73" s="12">
        <v>2023</v>
      </c>
      <c r="C73" s="3">
        <v>115305536000000</v>
      </c>
      <c r="D73" s="3">
        <v>119267076000000</v>
      </c>
      <c r="E73" s="3">
        <f>3507566000000+3367938000000+120459000000+232201000000</f>
        <v>7228164000000</v>
      </c>
      <c r="F73" s="3">
        <f>3836684000000+3361474000000+112627000000+213623000000</f>
        <v>7524408000000</v>
      </c>
      <c r="G73" s="3">
        <v>14710911000000</v>
      </c>
      <c r="H73" s="3">
        <v>62104033000000</v>
      </c>
      <c r="I73" s="3">
        <v>64797516000000</v>
      </c>
      <c r="J73" s="3">
        <v>67909901000000</v>
      </c>
      <c r="K73" s="3">
        <v>8465123000000</v>
      </c>
      <c r="L73" s="3">
        <v>12415005000000</v>
      </c>
      <c r="M73" s="4"/>
    </row>
    <row r="74" spans="1:13" x14ac:dyDescent="0.25">
      <c r="A74" s="2" t="s">
        <v>26</v>
      </c>
      <c r="B74" s="12">
        <v>2021</v>
      </c>
      <c r="C74" s="3">
        <v>163136516000000</v>
      </c>
      <c r="D74" s="3">
        <v>179271840000000</v>
      </c>
      <c r="E74" s="3">
        <f>5315611000000+1113519000000+420935000000+601605000000</f>
        <v>7451670000000</v>
      </c>
      <c r="F74" s="3">
        <f>6230066000000+1395975000000+194078000000+644187000000</f>
        <v>8464306000000</v>
      </c>
      <c r="G74" s="3">
        <v>46751821000000</v>
      </c>
      <c r="H74" s="3">
        <v>86986509000000</v>
      </c>
      <c r="I74" s="3">
        <v>81731469000000</v>
      </c>
      <c r="J74" s="3">
        <v>99345618000000</v>
      </c>
      <c r="K74" s="3">
        <v>11229695000000</v>
      </c>
      <c r="L74" s="3">
        <v>14692641000000</v>
      </c>
      <c r="M74" s="4"/>
    </row>
    <row r="75" spans="1:13" x14ac:dyDescent="0.25">
      <c r="A75" s="2"/>
      <c r="B75" s="12">
        <v>2022</v>
      </c>
      <c r="C75" s="3">
        <v>179271840000000</v>
      </c>
      <c r="D75" s="3">
        <v>180433300000000</v>
      </c>
      <c r="E75" s="3">
        <f>6230066000000+1395975000000+194078000000+644187000000</f>
        <v>8464306000000</v>
      </c>
      <c r="F75" s="3">
        <f>6805535000000+1475001000000+301972000000+418341000000</f>
        <v>9000849000000</v>
      </c>
      <c r="G75" s="3">
        <v>47410528000000</v>
      </c>
      <c r="H75" s="3">
        <v>93623038000000</v>
      </c>
      <c r="I75" s="3">
        <v>99345618000000</v>
      </c>
      <c r="J75" s="3">
        <v>110830272000000</v>
      </c>
      <c r="K75" s="3">
        <v>9192569000000</v>
      </c>
      <c r="L75" s="3">
        <v>13587686000000</v>
      </c>
      <c r="M75" s="4"/>
    </row>
    <row r="76" spans="1:13" x14ac:dyDescent="0.25">
      <c r="A76" s="2"/>
      <c r="B76" s="12">
        <v>2023</v>
      </c>
      <c r="C76" s="3">
        <v>180433300000000</v>
      </c>
      <c r="D76" s="3">
        <v>186587957000000</v>
      </c>
      <c r="E76" s="3">
        <f>6805535000000+1475001000000+301972000000+418341000000</f>
        <v>9000849000000</v>
      </c>
      <c r="F76" s="3">
        <f>6827850000000+1150616000000+282876000000+412658000000</f>
        <v>8674000000000</v>
      </c>
      <c r="G76" s="3">
        <v>47295092000000</v>
      </c>
      <c r="H76" s="3">
        <v>100464891000000</v>
      </c>
      <c r="I76" s="3">
        <v>110830272000000</v>
      </c>
      <c r="J76" s="3">
        <v>111703611000000</v>
      </c>
      <c r="K76" s="3">
        <v>11493733000000</v>
      </c>
      <c r="L76" s="3">
        <v>18460624000000</v>
      </c>
      <c r="M76" s="4"/>
    </row>
    <row r="77" spans="1:13" x14ac:dyDescent="0.25">
      <c r="A77" s="2" t="s">
        <v>27</v>
      </c>
      <c r="B77" s="12">
        <v>2021</v>
      </c>
      <c r="C77" s="3">
        <v>25951760000000</v>
      </c>
      <c r="D77" s="3">
        <v>28589656000000</v>
      </c>
      <c r="E77" s="3">
        <f>12674000000+1867342000000+3066000000+99249000000</f>
        <v>1982331000000</v>
      </c>
      <c r="F77" s="3">
        <f>25616000000+2322193000000+526000000+80206000000</f>
        <v>2428541000000</v>
      </c>
      <c r="G77" s="3">
        <v>11509654000000</v>
      </c>
      <c r="H77" s="3">
        <v>13102710000000</v>
      </c>
      <c r="I77" s="3">
        <v>36964948000000</v>
      </c>
      <c r="J77" s="3">
        <v>44878300000000</v>
      </c>
      <c r="K77" s="3">
        <v>2130896000000</v>
      </c>
      <c r="L77" s="3">
        <v>701246000000</v>
      </c>
      <c r="M77" s="4"/>
    </row>
    <row r="78" spans="1:13" x14ac:dyDescent="0.25">
      <c r="A78" s="2"/>
      <c r="B78" s="12">
        <v>2022</v>
      </c>
      <c r="C78" s="3">
        <v>28589656000000</v>
      </c>
      <c r="D78" s="3">
        <v>32690887000000</v>
      </c>
      <c r="E78" s="3">
        <f>25616000000+2322193000000+526000000+80206000000</f>
        <v>2428541000000</v>
      </c>
      <c r="F78" s="3">
        <f>18976000000+2386274000000+1937000000+88874000000</f>
        <v>2496061000000</v>
      </c>
      <c r="G78" s="3">
        <v>12497177000000</v>
      </c>
      <c r="H78" s="3">
        <v>13654777000000</v>
      </c>
      <c r="I78" s="3">
        <v>44878300000000</v>
      </c>
      <c r="J78" s="3">
        <v>48972085000000</v>
      </c>
      <c r="K78" s="3">
        <v>1490931000000</v>
      </c>
      <c r="L78" s="3">
        <v>1426749000000</v>
      </c>
      <c r="M78" s="4"/>
    </row>
    <row r="79" spans="1:13" x14ac:dyDescent="0.25">
      <c r="A79" s="2"/>
      <c r="B79" s="12">
        <v>2023</v>
      </c>
      <c r="C79" s="3">
        <v>32690887000000</v>
      </c>
      <c r="D79" s="3">
        <v>34109431000000</v>
      </c>
      <c r="E79" s="3">
        <f>18976000000+2386274000000+1937000000+88874000000</f>
        <v>2496061000000</v>
      </c>
      <c r="F79" s="3">
        <f>13766000000+2442372000000+7337000000+122283000000</f>
        <v>2585758000000</v>
      </c>
      <c r="G79" s="3">
        <v>13395156000000</v>
      </c>
      <c r="H79" s="3">
        <v>14167212000000</v>
      </c>
      <c r="I79" s="3">
        <v>48972085000000</v>
      </c>
      <c r="J79" s="3">
        <v>51175898000000</v>
      </c>
      <c r="K79" s="3">
        <v>945922000000</v>
      </c>
      <c r="L79" s="3">
        <v>2371932000000</v>
      </c>
      <c r="M79" s="4"/>
    </row>
    <row r="80" spans="1:13" x14ac:dyDescent="0.25">
      <c r="A80" s="2" t="s">
        <v>47</v>
      </c>
      <c r="B80" s="12">
        <v>2021</v>
      </c>
      <c r="C80" s="3">
        <v>10922788000000</v>
      </c>
      <c r="D80" s="3">
        <v>11851269000000</v>
      </c>
      <c r="E80" s="3">
        <f>168602000000+45638000000+100836000000+24004000000</f>
        <v>339080000000</v>
      </c>
      <c r="F80" s="3">
        <f>149857000000+22539000000+115227000000+19705000000</f>
        <v>307328000000</v>
      </c>
      <c r="G80" s="3">
        <v>5826682000000</v>
      </c>
      <c r="H80" s="3">
        <v>10191396000000</v>
      </c>
      <c r="I80" s="3">
        <v>3536721000000</v>
      </c>
      <c r="J80" s="3">
        <v>4525473000000</v>
      </c>
      <c r="K80" s="3">
        <v>991630000000</v>
      </c>
      <c r="L80" s="3">
        <v>1878851000000</v>
      </c>
      <c r="M80" s="4"/>
    </row>
    <row r="81" spans="1:14" x14ac:dyDescent="0.25">
      <c r="A81" s="2"/>
      <c r="B81" s="12">
        <v>2022</v>
      </c>
      <c r="C81" s="3">
        <v>11851269000000</v>
      </c>
      <c r="D81" s="3">
        <v>12417013000000</v>
      </c>
      <c r="E81" s="3">
        <f>149857000000+22539000000+115227000000+19705000000</f>
        <v>307328000000</v>
      </c>
      <c r="F81" s="3">
        <f>204303000000+21723000000+124849000000+46601000000</f>
        <v>397476000000</v>
      </c>
      <c r="G81" s="3">
        <v>5665815000000</v>
      </c>
      <c r="H81" s="3">
        <v>10935707000000</v>
      </c>
      <c r="I81" s="3">
        <v>4525473000000</v>
      </c>
      <c r="J81" s="3">
        <v>4585348000000</v>
      </c>
      <c r="K81" s="3">
        <v>1035285000000</v>
      </c>
      <c r="L81" s="3">
        <v>1087265000000</v>
      </c>
      <c r="M81" s="4"/>
    </row>
    <row r="82" spans="1:14" x14ac:dyDescent="0.25">
      <c r="A82" s="2"/>
      <c r="B82" s="12">
        <v>2023</v>
      </c>
      <c r="C82" s="3">
        <v>12417013000000</v>
      </c>
      <c r="D82" s="3">
        <v>12514203000000</v>
      </c>
      <c r="E82" s="3">
        <f>204303000000+21723000000+124849000000+46601000000</f>
        <v>397476000000</v>
      </c>
      <c r="F82" s="3">
        <f>7996000000+24591000000+131922000000+51803000000</f>
        <v>216312000000</v>
      </c>
      <c r="G82" s="3">
        <v>5493363000000</v>
      </c>
      <c r="H82" s="3">
        <v>11347441000000</v>
      </c>
      <c r="I82" s="3">
        <v>4585348000000</v>
      </c>
      <c r="J82" s="3">
        <v>4189896000000</v>
      </c>
      <c r="K82" s="3">
        <v>760673000000</v>
      </c>
      <c r="L82" s="3">
        <v>1411390000000</v>
      </c>
      <c r="M82" s="4"/>
    </row>
    <row r="83" spans="1:14" x14ac:dyDescent="0.25">
      <c r="A83" s="2" t="s">
        <v>48</v>
      </c>
      <c r="B83" s="12">
        <v>2021</v>
      </c>
      <c r="C83" s="3">
        <v>4674206873000</v>
      </c>
      <c r="D83" s="3">
        <v>5436745210000</v>
      </c>
      <c r="E83" s="3">
        <f>383162203000+17976394000</f>
        <v>401138597000</v>
      </c>
      <c r="F83" s="3">
        <f>488600707000+16503157000</f>
        <v>505103864000</v>
      </c>
      <c r="G83" s="3">
        <v>2459801444000</v>
      </c>
      <c r="H83" s="3">
        <v>2048039833000</v>
      </c>
      <c r="I83" s="3">
        <v>7000570412000</v>
      </c>
      <c r="J83" s="3">
        <v>9130618395000</v>
      </c>
      <c r="K83" s="3">
        <v>60376485000</v>
      </c>
      <c r="L83" s="3">
        <v>-273557927000</v>
      </c>
      <c r="M83" s="4"/>
      <c r="N83" s="54" t="s">
        <v>72</v>
      </c>
    </row>
    <row r="84" spans="1:14" x14ac:dyDescent="0.25">
      <c r="A84" s="2"/>
      <c r="B84" s="12">
        <v>2022</v>
      </c>
      <c r="C84" s="3">
        <v>5436745210000</v>
      </c>
      <c r="D84" s="3">
        <v>5746998087000</v>
      </c>
      <c r="E84" s="3">
        <f>488600707000+16503157000</f>
        <v>505103864000</v>
      </c>
      <c r="F84" s="3">
        <f>504692724000+20834639000</f>
        <v>525527363000</v>
      </c>
      <c r="G84" s="3">
        <v>2538986813000</v>
      </c>
      <c r="H84" s="3">
        <v>2075138470000</v>
      </c>
      <c r="I84" s="3">
        <v>9130618395000</v>
      </c>
      <c r="J84" s="3">
        <v>11101647275000</v>
      </c>
      <c r="K84" s="3">
        <v>26217657000</v>
      </c>
      <c r="L84" s="3">
        <v>268953194000</v>
      </c>
      <c r="M84" s="4"/>
      <c r="N84" s="54"/>
    </row>
    <row r="85" spans="1:14" x14ac:dyDescent="0.25">
      <c r="A85" s="2"/>
      <c r="B85" s="12">
        <v>2023</v>
      </c>
      <c r="C85" s="3">
        <v>5746998087000</v>
      </c>
      <c r="D85" s="3">
        <v>5517296880000</v>
      </c>
      <c r="E85" s="3">
        <f>504692724000+20834639000</f>
        <v>525527363000</v>
      </c>
      <c r="F85" s="3">
        <f>662976747000+18332504000</f>
        <v>681309251000</v>
      </c>
      <c r="G85" s="3">
        <v>2367447869000</v>
      </c>
      <c r="H85" s="3">
        <v>2140281849000</v>
      </c>
      <c r="I85" s="3">
        <v>11101647275000</v>
      </c>
      <c r="J85" s="3">
        <v>12058023085000</v>
      </c>
      <c r="K85" s="3">
        <v>63162746000</v>
      </c>
      <c r="L85" s="3">
        <v>461817524000</v>
      </c>
      <c r="M85" s="4"/>
      <c r="N85" s="54"/>
    </row>
    <row r="86" spans="1:14" x14ac:dyDescent="0.25">
      <c r="A86" s="2" t="s">
        <v>49</v>
      </c>
      <c r="B86" s="12">
        <v>2021</v>
      </c>
      <c r="C86" s="3">
        <v>2907425000000</v>
      </c>
      <c r="D86" s="3">
        <v>2922017000000</v>
      </c>
      <c r="E86" s="3">
        <f>336035000000+738000000</f>
        <v>336773000000</v>
      </c>
      <c r="F86" s="3">
        <f>327812000000+1387000000</f>
        <v>329199000000</v>
      </c>
      <c r="G86" s="3">
        <v>1406550000000</v>
      </c>
      <c r="H86" s="3">
        <v>1099157000000</v>
      </c>
      <c r="I86" s="3">
        <v>1985009000000</v>
      </c>
      <c r="J86" s="3">
        <v>2473681000000</v>
      </c>
      <c r="K86" s="3">
        <v>665850000000</v>
      </c>
      <c r="L86" s="3">
        <v>1168005000000</v>
      </c>
      <c r="M86" s="4"/>
    </row>
    <row r="87" spans="1:14" x14ac:dyDescent="0.25">
      <c r="A87" s="2"/>
      <c r="B87" s="12">
        <v>2022</v>
      </c>
      <c r="C87" s="3">
        <v>2922017000000</v>
      </c>
      <c r="D87" s="3">
        <v>3374502000000</v>
      </c>
      <c r="E87" s="3">
        <f>327812000000+1387000000</f>
        <v>329199000000</v>
      </c>
      <c r="F87" s="3">
        <f>445676000000+1261000000</f>
        <v>446937000000</v>
      </c>
      <c r="G87" s="3">
        <v>1468317000000</v>
      </c>
      <c r="H87" s="3">
        <v>1073275000000</v>
      </c>
      <c r="I87" s="3">
        <v>2473681000000</v>
      </c>
      <c r="J87" s="3">
        <v>3114907000000</v>
      </c>
      <c r="K87" s="3">
        <v>924906000000</v>
      </c>
      <c r="L87" s="3">
        <v>1490060000000</v>
      </c>
      <c r="M87" s="4"/>
    </row>
    <row r="88" spans="1:14" x14ac:dyDescent="0.25">
      <c r="A88" s="2"/>
      <c r="B88" s="12">
        <v>2023</v>
      </c>
      <c r="C88" s="3">
        <v>3374502000000</v>
      </c>
      <c r="D88" s="3">
        <v>3407442000000</v>
      </c>
      <c r="E88" s="3">
        <f>445676000000+1261000000</f>
        <v>446937000000</v>
      </c>
      <c r="F88" s="3">
        <f>597645000000+1018000000</f>
        <v>598663000000</v>
      </c>
      <c r="G88" s="3">
        <v>1444099000000</v>
      </c>
      <c r="H88" s="3">
        <v>1391455000000</v>
      </c>
      <c r="I88" s="3">
        <v>3114907000000</v>
      </c>
      <c r="J88" s="3">
        <v>3322282000000</v>
      </c>
      <c r="K88" s="3">
        <v>1066467000000</v>
      </c>
      <c r="L88" s="3">
        <v>1018862000000</v>
      </c>
      <c r="M88" s="4"/>
    </row>
    <row r="89" spans="1:14" x14ac:dyDescent="0.25">
      <c r="A89" s="2" t="s">
        <v>50</v>
      </c>
      <c r="B89" s="12">
        <v>2021</v>
      </c>
      <c r="C89" s="3">
        <v>19777500514550</v>
      </c>
      <c r="D89" s="3">
        <v>19917653265528</v>
      </c>
      <c r="E89" s="3">
        <f>5333380386497+130604357590+168238240056</f>
        <v>5632222984143</v>
      </c>
      <c r="F89" s="3">
        <f>5552851482405+358952306318+167585242110</f>
        <v>6079389030833</v>
      </c>
      <c r="G89" s="3">
        <v>6376788515278</v>
      </c>
      <c r="H89" s="3">
        <v>11360031396135</v>
      </c>
      <c r="I89" s="3">
        <v>24476953742651</v>
      </c>
      <c r="J89" s="3">
        <v>27904558322183</v>
      </c>
      <c r="K89" s="3">
        <v>1211052647953</v>
      </c>
      <c r="L89" s="3">
        <v>1041955003348</v>
      </c>
      <c r="M89" s="4"/>
      <c r="N89" s="50" t="s">
        <v>41</v>
      </c>
    </row>
    <row r="90" spans="1:14" x14ac:dyDescent="0.25">
      <c r="A90" s="2"/>
      <c r="B90" s="12">
        <v>2022</v>
      </c>
      <c r="C90" s="3">
        <v>19917653265528</v>
      </c>
      <c r="D90" s="3">
        <v>22276160695411</v>
      </c>
      <c r="E90" s="3">
        <f>5552851482405+358952306318+167585242110</f>
        <v>6079389030833</v>
      </c>
      <c r="F90" s="3">
        <f>6135528728699+353876660824+115363708383</f>
        <v>6604769097906</v>
      </c>
      <c r="G90" s="3">
        <v>6644507001686</v>
      </c>
      <c r="H90" s="3">
        <v>12834694090515</v>
      </c>
      <c r="I90" s="3">
        <v>27904558322183</v>
      </c>
      <c r="J90" s="3">
        <v>30669405967404</v>
      </c>
      <c r="K90" s="3">
        <v>1970064538149</v>
      </c>
      <c r="L90" s="3">
        <v>1619570638186</v>
      </c>
      <c r="M90" s="4"/>
      <c r="N90" s="50"/>
    </row>
    <row r="91" spans="1:14" x14ac:dyDescent="0.25">
      <c r="A91" s="2"/>
      <c r="B91" s="12">
        <v>2023</v>
      </c>
      <c r="C91" s="3">
        <v>22276160695411</v>
      </c>
      <c r="D91" s="3">
        <v>23870404962472</v>
      </c>
      <c r="E91" s="3">
        <f>6135528728699+353876660824+115363708383</f>
        <v>6604769097906</v>
      </c>
      <c r="F91" s="3">
        <f>5848243953678+250189161535+98527776182</f>
        <v>6196960891395</v>
      </c>
      <c r="G91" s="3">
        <v>8159841794537</v>
      </c>
      <c r="H91" s="3">
        <v>15282089186736</v>
      </c>
      <c r="I91" s="3">
        <v>30669405967404</v>
      </c>
      <c r="J91" s="3">
        <v>31485008185525</v>
      </c>
      <c r="K91" s="3">
        <v>3244872091221</v>
      </c>
      <c r="L91" s="3">
        <v>5259181989696</v>
      </c>
      <c r="M91" s="4"/>
      <c r="N91" s="50"/>
    </row>
    <row r="92" spans="1:14" x14ac:dyDescent="0.25">
      <c r="A92" s="2" t="s">
        <v>51</v>
      </c>
      <c r="B92" s="12">
        <v>2021</v>
      </c>
      <c r="C92" s="3">
        <v>4452166671985</v>
      </c>
      <c r="D92" s="3">
        <v>4191284422677</v>
      </c>
      <c r="E92" s="3">
        <f>176075299580+169703141320+64490484095</f>
        <v>410268924995</v>
      </c>
      <c r="F92" s="3">
        <f>193582865936+185850582845+7094124947</f>
        <v>386527573728</v>
      </c>
      <c r="G92" s="3">
        <v>2492863630370</v>
      </c>
      <c r="H92" s="3">
        <v>2869591202766</v>
      </c>
      <c r="I92" s="3">
        <v>3212034546032</v>
      </c>
      <c r="J92" s="3">
        <v>3287623237457</v>
      </c>
      <c r="K92" s="3">
        <v>283602993676</v>
      </c>
      <c r="L92" s="3">
        <v>643601152274</v>
      </c>
      <c r="M92" s="4"/>
      <c r="N92" s="50" t="s">
        <v>41</v>
      </c>
    </row>
    <row r="93" spans="1:14" x14ac:dyDescent="0.25">
      <c r="A93" s="2"/>
      <c r="B93" s="12">
        <v>2022</v>
      </c>
      <c r="C93" s="3">
        <v>4191284422677</v>
      </c>
      <c r="D93" s="3">
        <v>4130321616083</v>
      </c>
      <c r="E93" s="3">
        <f>193582865936+185850582845+7094124947</f>
        <v>386527573728</v>
      </c>
      <c r="F93" s="3">
        <f>248296556758+239881553735+4651700713</f>
        <v>492829811206</v>
      </c>
      <c r="G93" s="3">
        <v>2493688426380</v>
      </c>
      <c r="H93" s="3">
        <v>2681158538764</v>
      </c>
      <c r="I93" s="3">
        <v>3287623237457</v>
      </c>
      <c r="J93" s="3">
        <v>3935182048668</v>
      </c>
      <c r="K93" s="3">
        <v>432247722254</v>
      </c>
      <c r="L93" s="3">
        <v>726581686414</v>
      </c>
      <c r="M93" s="4"/>
      <c r="N93" s="50"/>
    </row>
    <row r="94" spans="1:14" x14ac:dyDescent="0.25">
      <c r="A94" s="2"/>
      <c r="B94" s="12">
        <v>2023</v>
      </c>
      <c r="C94" s="3">
        <v>4130321616083</v>
      </c>
      <c r="D94" s="3">
        <v>3943518425042</v>
      </c>
      <c r="E94" s="3">
        <f>248296556758+239881553735+4651700713</f>
        <v>492829811206</v>
      </c>
      <c r="F94" s="3">
        <f>238052062834+230433185621+3387672528</f>
        <v>471872920983</v>
      </c>
      <c r="G94" s="3">
        <v>2534957098472</v>
      </c>
      <c r="H94" s="3">
        <v>2393431575281</v>
      </c>
      <c r="I94" s="3">
        <v>3935182048668</v>
      </c>
      <c r="J94" s="3">
        <v>3820532634926</v>
      </c>
      <c r="K94" s="3">
        <v>333300420963</v>
      </c>
      <c r="L94" s="3">
        <v>618793076443</v>
      </c>
      <c r="M94" s="4"/>
      <c r="N94" s="50"/>
    </row>
    <row r="95" spans="1:14" x14ac:dyDescent="0.25">
      <c r="A95" s="2" t="s">
        <v>52</v>
      </c>
      <c r="B95" s="12">
        <v>2021</v>
      </c>
      <c r="C95" s="3">
        <v>1768660546754</v>
      </c>
      <c r="D95" s="3">
        <v>1970428120056</v>
      </c>
      <c r="E95" s="3">
        <f>4818811584+355583321595+7083000000+2384819572</f>
        <v>369869952751</v>
      </c>
      <c r="F95" s="3">
        <f>7086068357+443947525518+7072500000+688650559</f>
        <v>458794744434</v>
      </c>
      <c r="G95" s="3">
        <v>440353396212</v>
      </c>
      <c r="H95" s="3">
        <v>992485493010</v>
      </c>
      <c r="I95" s="3">
        <v>3165530224724</v>
      </c>
      <c r="J95" s="3">
        <v>3847887478570</v>
      </c>
      <c r="K95" s="3">
        <v>29707421605</v>
      </c>
      <c r="L95" s="3">
        <v>-44970462418</v>
      </c>
      <c r="M95" s="4"/>
      <c r="N95" s="50" t="s">
        <v>41</v>
      </c>
    </row>
    <row r="96" spans="1:14" x14ac:dyDescent="0.25">
      <c r="A96" s="2"/>
      <c r="B96" s="12">
        <v>2022</v>
      </c>
      <c r="C96" s="3">
        <v>1970428120056</v>
      </c>
      <c r="D96" s="3">
        <v>2042199577083</v>
      </c>
      <c r="E96" s="3">
        <f>7086068357+443947525518+7072500000+688650559</f>
        <v>458794744434</v>
      </c>
      <c r="F96" s="3">
        <f>2759119056+446016275414+7098375000+1137623147</f>
        <v>457011392617</v>
      </c>
      <c r="G96" s="3">
        <v>421445662260</v>
      </c>
      <c r="H96" s="3">
        <v>1073965710489</v>
      </c>
      <c r="I96" s="3">
        <v>3847887478570</v>
      </c>
      <c r="J96" s="3">
        <v>3802296289773</v>
      </c>
      <c r="K96" s="3">
        <v>86635603936</v>
      </c>
      <c r="L96" s="3">
        <v>102191880734</v>
      </c>
      <c r="M96" s="4"/>
      <c r="N96" s="50"/>
    </row>
    <row r="97" spans="1:14" x14ac:dyDescent="0.25">
      <c r="A97" s="2"/>
      <c r="B97" s="12">
        <v>2023</v>
      </c>
      <c r="C97" s="3">
        <v>2042199577083</v>
      </c>
      <c r="D97" s="3">
        <v>1839622473747</v>
      </c>
      <c r="E97" s="3">
        <f>2759119056+446016275414+7098375000+1137623147</f>
        <v>457011392617</v>
      </c>
      <c r="F97" s="3">
        <f>295957638+243472013051+7124250000+229201756</f>
        <v>251121422445</v>
      </c>
      <c r="G97" s="3">
        <v>437450447490</v>
      </c>
      <c r="H97" s="3">
        <v>1067279217885</v>
      </c>
      <c r="I97" s="3">
        <v>3802296289773</v>
      </c>
      <c r="J97" s="3">
        <v>2839561359367</v>
      </c>
      <c r="K97" s="3">
        <v>2306736526</v>
      </c>
      <c r="L97" s="3">
        <v>136863064344</v>
      </c>
      <c r="M97" s="4"/>
      <c r="N97" s="50"/>
    </row>
    <row r="98" spans="1:14" x14ac:dyDescent="0.25">
      <c r="A98" s="2" t="s">
        <v>53</v>
      </c>
      <c r="B98" s="12">
        <v>2021</v>
      </c>
      <c r="C98" s="3">
        <v>35026171000000</v>
      </c>
      <c r="D98" s="3">
        <v>40345003000000</v>
      </c>
      <c r="E98" s="3">
        <f>2799199000000+2696207000000+156527000000</f>
        <v>5651933000000</v>
      </c>
      <c r="F98" s="3">
        <f>4173388000000+3627655000000+148503000000</f>
        <v>7949546000000</v>
      </c>
      <c r="G98" s="3">
        <v>12003892000000</v>
      </c>
      <c r="H98" s="3">
        <v>14417829000000</v>
      </c>
      <c r="I98" s="3">
        <v>40434346000000</v>
      </c>
      <c r="J98" s="3">
        <v>57004234000000</v>
      </c>
      <c r="K98" s="3">
        <v>2829418000000</v>
      </c>
      <c r="L98" s="3">
        <v>650500000000</v>
      </c>
      <c r="M98" s="4"/>
    </row>
    <row r="99" spans="1:14" x14ac:dyDescent="0.25">
      <c r="A99" s="2"/>
      <c r="B99" s="12">
        <v>2022</v>
      </c>
      <c r="C99" s="3">
        <v>40345003000000</v>
      </c>
      <c r="D99" s="3">
        <v>42600814000000</v>
      </c>
      <c r="E99" s="3">
        <f>4173388000000+3627655000000+148503000000</f>
        <v>7949546000000</v>
      </c>
      <c r="F99" s="3">
        <f>6389257000000+2124759000000+132495000000</f>
        <v>8646511000000</v>
      </c>
      <c r="G99" s="3">
        <v>12388624000000</v>
      </c>
      <c r="H99" s="3">
        <v>19247803000000</v>
      </c>
      <c r="I99" s="3">
        <v>57004234000000</v>
      </c>
      <c r="J99" s="3">
        <v>75045559000000</v>
      </c>
      <c r="K99" s="3">
        <v>5504956000000</v>
      </c>
      <c r="L99" s="3">
        <v>4283273000000</v>
      </c>
      <c r="M99" s="4"/>
    </row>
    <row r="100" spans="1:14" x14ac:dyDescent="0.25">
      <c r="A100" s="2"/>
      <c r="B100" s="12">
        <v>2023</v>
      </c>
      <c r="C100" s="3">
        <v>42600814000000</v>
      </c>
      <c r="D100" s="3">
        <v>39716363000000</v>
      </c>
      <c r="E100" s="3">
        <f>6389257000000+2124759000000+132495000000</f>
        <v>8646511000000</v>
      </c>
      <c r="F100" s="3">
        <f>2209148000000+2766321000000+127130000000</f>
        <v>5102599000000</v>
      </c>
      <c r="G100" s="3">
        <v>13037169000000</v>
      </c>
      <c r="H100" s="3">
        <v>19071863000000</v>
      </c>
      <c r="I100" s="3">
        <v>75045559000000</v>
      </c>
      <c r="J100" s="3">
        <v>66530549000000</v>
      </c>
      <c r="K100" s="3">
        <v>917870000000</v>
      </c>
      <c r="L100" s="3">
        <v>4037932000000</v>
      </c>
      <c r="M100" s="4"/>
    </row>
    <row r="101" spans="1:14" x14ac:dyDescent="0.25">
      <c r="A101" s="2" t="s">
        <v>54</v>
      </c>
      <c r="B101" s="12">
        <v>2021</v>
      </c>
      <c r="C101" s="3">
        <v>3448995059882</v>
      </c>
      <c r="D101" s="3">
        <v>3919243683748</v>
      </c>
      <c r="E101" s="3">
        <f>141282908965+306311166144+32739920378+602368115</f>
        <v>480936363602</v>
      </c>
      <c r="F101" s="3">
        <f>180415788122+295565013714+44538093800+602190453</f>
        <v>521121086089</v>
      </c>
      <c r="G101" s="3">
        <v>1552703249576</v>
      </c>
      <c r="H101" s="3">
        <v>3300848622529</v>
      </c>
      <c r="I101" s="3">
        <v>3846300254825</v>
      </c>
      <c r="J101" s="3">
        <v>4241856914012</v>
      </c>
      <c r="K101" s="3">
        <v>617573766863</v>
      </c>
      <c r="L101" s="3">
        <v>624883019222</v>
      </c>
      <c r="M101" s="4"/>
      <c r="N101" s="50" t="s">
        <v>41</v>
      </c>
    </row>
    <row r="102" spans="1:14" x14ac:dyDescent="0.25">
      <c r="A102" s="2"/>
      <c r="B102" s="12">
        <v>2022</v>
      </c>
      <c r="C102" s="3">
        <v>3919243683748</v>
      </c>
      <c r="D102" s="3">
        <v>4590737849889</v>
      </c>
      <c r="E102" s="3">
        <f>180415788122+295565013714+44538093800+602190453</f>
        <v>521121086089</v>
      </c>
      <c r="F102" s="3">
        <f>187542243295+295369538109+26124668872+667500000</f>
        <v>509703950276</v>
      </c>
      <c r="G102" s="3">
        <v>1585273559920</v>
      </c>
      <c r="H102" s="3">
        <v>3928398773915</v>
      </c>
      <c r="I102" s="3">
        <v>4241856914012</v>
      </c>
      <c r="J102" s="3">
        <v>4931553771470</v>
      </c>
      <c r="K102" s="3">
        <v>624524005786</v>
      </c>
      <c r="L102" s="3">
        <v>677186311780</v>
      </c>
      <c r="M102" s="4"/>
      <c r="N102" s="50"/>
    </row>
    <row r="103" spans="1:14" x14ac:dyDescent="0.25">
      <c r="A103" s="2"/>
      <c r="B103" s="12">
        <v>2023</v>
      </c>
      <c r="C103" s="3">
        <v>4590737849889</v>
      </c>
      <c r="D103" s="3">
        <v>5482234635262</v>
      </c>
      <c r="E103" s="3">
        <f>187542243295+295369538109+26124668872+667500000</f>
        <v>509703950276</v>
      </c>
      <c r="F103" s="3">
        <f>180032562886+247820758443+27890280354+667500000</f>
        <v>456411101683</v>
      </c>
      <c r="G103" s="3">
        <v>1635687431376</v>
      </c>
      <c r="H103" s="3">
        <v>4847511375575</v>
      </c>
      <c r="I103" s="3">
        <v>4931553771470</v>
      </c>
      <c r="J103" s="3">
        <v>4767207433046</v>
      </c>
      <c r="K103" s="3">
        <v>917794022711</v>
      </c>
      <c r="L103" s="3">
        <v>1040203617434</v>
      </c>
      <c r="M103" s="4"/>
      <c r="N103" s="50"/>
    </row>
    <row r="104" spans="1:14" x14ac:dyDescent="0.25">
      <c r="A104" s="2" t="s">
        <v>55</v>
      </c>
      <c r="B104" s="12">
        <v>2021</v>
      </c>
      <c r="C104" s="3">
        <v>19413293000000</v>
      </c>
      <c r="D104" s="3">
        <v>21084017000000</v>
      </c>
      <c r="E104" s="3">
        <f>1624444000000+1388413000000+10718000000</f>
        <v>3023575000000</v>
      </c>
      <c r="F104" s="3">
        <f>1990671000000+1466256000000+11405000000</f>
        <v>3468332000000</v>
      </c>
      <c r="G104" s="3">
        <v>6647127000000</v>
      </c>
      <c r="H104" s="3">
        <v>6492354000000</v>
      </c>
      <c r="I104" s="3">
        <v>10863256000000</v>
      </c>
      <c r="J104" s="3">
        <v>15972216000000</v>
      </c>
      <c r="K104" s="3">
        <v>791916000000</v>
      </c>
      <c r="L104" s="3">
        <v>1531950000000</v>
      </c>
      <c r="M104" s="4"/>
    </row>
    <row r="105" spans="1:14" x14ac:dyDescent="0.25">
      <c r="A105" s="2"/>
      <c r="B105" s="12">
        <v>2022</v>
      </c>
      <c r="C105" s="3">
        <v>21084017000000</v>
      </c>
      <c r="D105" s="3">
        <v>23673644000000</v>
      </c>
      <c r="E105" s="3">
        <f>1990671000000+1466256000000+11405000000</f>
        <v>3468332000000</v>
      </c>
      <c r="F105" s="3">
        <f>2131578000000+1435375000000+5276000000</f>
        <v>3572229000000</v>
      </c>
      <c r="G105" s="3">
        <v>6910144000000</v>
      </c>
      <c r="H105" s="3">
        <v>6832234000000</v>
      </c>
      <c r="I105" s="3">
        <v>15972216000000</v>
      </c>
      <c r="J105" s="3">
        <v>16579960000000</v>
      </c>
      <c r="K105" s="3">
        <v>801440000000</v>
      </c>
      <c r="L105" s="3">
        <v>1023209000000</v>
      </c>
      <c r="M105" s="4"/>
    </row>
    <row r="106" spans="1:14" x14ac:dyDescent="0.25">
      <c r="A106" s="2"/>
      <c r="B106" s="12">
        <v>2023</v>
      </c>
      <c r="C106" s="3">
        <v>23673644000000</v>
      </c>
      <c r="D106" s="3">
        <v>25883325000000</v>
      </c>
      <c r="E106" s="3">
        <f>2131578000000+1435375000000+5276000000</f>
        <v>3572229000000</v>
      </c>
      <c r="F106" s="3">
        <f>2655191000000+1198820000000+6723000000</f>
        <v>3860734000000</v>
      </c>
      <c r="G106" s="3">
        <v>7589557000000</v>
      </c>
      <c r="H106" s="3">
        <v>8202858000000</v>
      </c>
      <c r="I106" s="3">
        <v>16579960000000</v>
      </c>
      <c r="J106" s="3">
        <v>15317617000000</v>
      </c>
      <c r="K106" s="3">
        <v>612218000000</v>
      </c>
      <c r="L106" s="3">
        <v>-1053127000000</v>
      </c>
      <c r="M106" s="4"/>
    </row>
    <row r="107" spans="1:14" x14ac:dyDescent="0.25">
      <c r="A107" s="2" t="s">
        <v>56</v>
      </c>
      <c r="B107" s="12">
        <v>2021</v>
      </c>
      <c r="C107" s="3">
        <v>3361956000000</v>
      </c>
      <c r="D107" s="3">
        <v>3403961000000</v>
      </c>
      <c r="E107" s="3">
        <f>1045004168600+7100126155+224479955781</f>
        <v>1276584250536</v>
      </c>
      <c r="F107" s="3">
        <v>1381671000000</v>
      </c>
      <c r="G107" s="3">
        <v>78301000000</v>
      </c>
      <c r="H107" s="3">
        <v>1760591000000</v>
      </c>
      <c r="I107" s="3">
        <v>12488884000000</v>
      </c>
      <c r="J107" s="3">
        <v>11926150000000</v>
      </c>
      <c r="K107" s="3">
        <v>481109000000</v>
      </c>
      <c r="L107" s="3">
        <v>71134000000</v>
      </c>
      <c r="M107" s="4"/>
    </row>
    <row r="108" spans="1:14" x14ac:dyDescent="0.25">
      <c r="A108" s="2"/>
      <c r="B108" s="12">
        <v>2022</v>
      </c>
      <c r="C108" s="3">
        <v>3403961000000</v>
      </c>
      <c r="D108" s="3">
        <v>4181760000000</v>
      </c>
      <c r="E108" s="3">
        <v>1381671000000</v>
      </c>
      <c r="F108" s="3">
        <v>1596876000000</v>
      </c>
      <c r="G108" s="3">
        <v>168528000000</v>
      </c>
      <c r="H108" s="3">
        <v>2045289000000</v>
      </c>
      <c r="I108" s="3">
        <v>11926150000000</v>
      </c>
      <c r="J108" s="3">
        <v>12977529000000</v>
      </c>
      <c r="K108" s="3">
        <v>478266000000</v>
      </c>
      <c r="L108" s="3">
        <v>654165000000</v>
      </c>
      <c r="M108" s="4"/>
    </row>
    <row r="109" spans="1:14" x14ac:dyDescent="0.25">
      <c r="A109" s="2"/>
      <c r="B109" s="12">
        <v>2023</v>
      </c>
      <c r="C109" s="3">
        <v>4181760000000</v>
      </c>
      <c r="D109" s="3">
        <v>4566006000000</v>
      </c>
      <c r="E109" s="3">
        <v>1596876000000</v>
      </c>
      <c r="F109" s="3">
        <f>1366348000000+211470000000</f>
        <v>1577818000000</v>
      </c>
      <c r="G109" s="3">
        <v>388542000000</v>
      </c>
      <c r="H109" s="3">
        <v>2200352000000</v>
      </c>
      <c r="I109" s="3">
        <v>12977529000000</v>
      </c>
      <c r="J109" s="3">
        <v>14210135000000</v>
      </c>
      <c r="K109" s="3">
        <v>441099000000</v>
      </c>
      <c r="L109" s="3">
        <v>624616000000</v>
      </c>
      <c r="M109" s="4"/>
    </row>
    <row r="110" spans="1:14" x14ac:dyDescent="0.25">
      <c r="A110" s="2" t="s">
        <v>57</v>
      </c>
      <c r="B110" s="12">
        <v>2021</v>
      </c>
      <c r="C110" s="3">
        <v>8754116000000</v>
      </c>
      <c r="D110" s="3">
        <v>7406856000000</v>
      </c>
      <c r="E110" s="3">
        <f>563444000000+92800000000</f>
        <v>656244000000</v>
      </c>
      <c r="F110" s="3">
        <f>626006000000+60946000000</f>
        <v>686952000000</v>
      </c>
      <c r="G110" s="3">
        <v>2165353000000</v>
      </c>
      <c r="H110" s="3">
        <v>5138126000000</v>
      </c>
      <c r="I110" s="3">
        <v>5967362000000</v>
      </c>
      <c r="J110" s="3">
        <v>6616642000000</v>
      </c>
      <c r="K110" s="3">
        <v>1276793000000</v>
      </c>
      <c r="L110" s="3">
        <v>1414447000000</v>
      </c>
      <c r="M110" s="4"/>
    </row>
    <row r="111" spans="1:14" x14ac:dyDescent="0.25">
      <c r="A111" s="2"/>
      <c r="B111" s="12">
        <v>2022</v>
      </c>
      <c r="C111" s="3">
        <v>7406856000000</v>
      </c>
      <c r="D111" s="3">
        <v>7376375000000</v>
      </c>
      <c r="E111" s="3">
        <f>626006000000+60946000000</f>
        <v>686952000000</v>
      </c>
      <c r="F111" s="3">
        <f>617192000000+69335000000</f>
        <v>686527000000</v>
      </c>
      <c r="G111" s="3">
        <v>2260183000000</v>
      </c>
      <c r="H111" s="3">
        <v>5822679000000</v>
      </c>
      <c r="I111" s="3">
        <v>6616642000000</v>
      </c>
      <c r="J111" s="3">
        <v>7656252000000</v>
      </c>
      <c r="K111" s="3">
        <v>965486000000</v>
      </c>
      <c r="L111" s="3">
        <v>259846000000</v>
      </c>
      <c r="M111" s="4"/>
    </row>
    <row r="112" spans="1:14" x14ac:dyDescent="0.25">
      <c r="A112" s="2"/>
      <c r="B112" s="12">
        <v>2023</v>
      </c>
      <c r="C112" s="3">
        <v>7376375000000</v>
      </c>
      <c r="D112" s="3">
        <v>7523956000000</v>
      </c>
      <c r="E112" s="3">
        <f>617192000000+69335000000</f>
        <v>686527000000</v>
      </c>
      <c r="F112" s="3">
        <f>710304000000+56791000000</f>
        <v>767095000000</v>
      </c>
      <c r="G112" s="3">
        <v>2346120000000</v>
      </c>
      <c r="H112" s="3">
        <v>6686968000000</v>
      </c>
      <c r="I112" s="3">
        <v>7656252000000</v>
      </c>
      <c r="J112" s="3">
        <v>8302741000000</v>
      </c>
      <c r="K112" s="3">
        <v>1186161000000</v>
      </c>
      <c r="L112" s="3">
        <v>1399842000000</v>
      </c>
      <c r="M112" s="4"/>
    </row>
    <row r="113" spans="1:14" x14ac:dyDescent="0.25">
      <c r="A113" s="2" t="s">
        <v>58</v>
      </c>
      <c r="B113" s="12">
        <v>2021</v>
      </c>
      <c r="C113" s="3">
        <v>20534632000000</v>
      </c>
      <c r="D113" s="3">
        <v>19068532000000</v>
      </c>
      <c r="E113" s="3">
        <f>4978160000000+317128000000+70109000000+47957000000</f>
        <v>5413354000000</v>
      </c>
      <c r="F113" s="3">
        <f>4136690000000+379865000000+52939000000+68645000000</f>
        <v>4638139000000</v>
      </c>
      <c r="G113" s="3">
        <v>10102086000000</v>
      </c>
      <c r="H113" s="3">
        <v>4321269000000</v>
      </c>
      <c r="I113" s="3">
        <v>42972474000000</v>
      </c>
      <c r="J113" s="3">
        <v>39545959000000</v>
      </c>
      <c r="K113" s="3">
        <v>5758148000000</v>
      </c>
      <c r="L113" s="3">
        <v>7902091000000</v>
      </c>
      <c r="M113" s="4"/>
    </row>
    <row r="114" spans="1:14" x14ac:dyDescent="0.25">
      <c r="A114" s="2"/>
      <c r="B114" s="12">
        <v>2022</v>
      </c>
      <c r="C114" s="3">
        <v>19068532000000</v>
      </c>
      <c r="D114" s="3">
        <v>18318114000000</v>
      </c>
      <c r="E114" s="3">
        <f>4136690000000+379865000000+52939000000+68645000000</f>
        <v>4638139000000</v>
      </c>
      <c r="F114" s="3">
        <f>3507072000000+417427000000+212065000000+74246000000</f>
        <v>4210810000000</v>
      </c>
      <c r="G114" s="3">
        <v>9536027000000</v>
      </c>
      <c r="H114" s="3">
        <v>3997256000000</v>
      </c>
      <c r="I114" s="3">
        <v>39545959000000</v>
      </c>
      <c r="J114" s="3">
        <v>41218881000000</v>
      </c>
      <c r="K114" s="3">
        <v>5364761000000</v>
      </c>
      <c r="L114" s="3">
        <v>8061314000000</v>
      </c>
      <c r="M114" s="4"/>
    </row>
    <row r="115" spans="1:14" x14ac:dyDescent="0.25">
      <c r="A115" s="2"/>
      <c r="B115" s="12">
        <v>2023</v>
      </c>
      <c r="C115" s="3">
        <v>18318114000000</v>
      </c>
      <c r="D115" s="3">
        <v>16664086000000</v>
      </c>
      <c r="E115" s="3">
        <f>3507072000000+417427000000+212065000000+74246000000</f>
        <v>4210810000000</v>
      </c>
      <c r="F115" s="3">
        <f>2104729000000+238283000000+231564000000+23074000000</f>
        <v>2597650000000</v>
      </c>
      <c r="G115" s="3">
        <v>9310734000000</v>
      </c>
      <c r="H115" s="3">
        <v>3381238000000</v>
      </c>
      <c r="I115" s="3">
        <v>41218881000000</v>
      </c>
      <c r="J115" s="3">
        <v>38611401000000</v>
      </c>
      <c r="K115" s="3">
        <v>4800940000000</v>
      </c>
      <c r="L115" s="3">
        <v>7118088000000</v>
      </c>
      <c r="M115" s="4"/>
    </row>
    <row r="116" spans="1:14" x14ac:dyDescent="0.25">
      <c r="A116" s="2" t="s">
        <v>59</v>
      </c>
      <c r="B116" s="12">
        <v>2021</v>
      </c>
      <c r="C116" s="3">
        <v>1310940121622</v>
      </c>
      <c r="D116" s="3">
        <v>1425031081176</v>
      </c>
      <c r="E116" s="3">
        <f>111695585232+7611850597+534164540</f>
        <v>119841600369</v>
      </c>
      <c r="F116" s="3">
        <f>1070094297+46178521911+979738469</f>
        <v>48228354677</v>
      </c>
      <c r="G116" s="3">
        <v>1145233605689</v>
      </c>
      <c r="H116" s="3">
        <v>1025649045711</v>
      </c>
      <c r="I116" s="3">
        <v>972634784176</v>
      </c>
      <c r="J116" s="3">
        <v>1103519743574</v>
      </c>
      <c r="K116" s="3">
        <v>180711667020</v>
      </c>
      <c r="L116" s="3">
        <v>232746845618</v>
      </c>
      <c r="M116" s="4"/>
      <c r="N116" s="50" t="s">
        <v>41</v>
      </c>
    </row>
    <row r="117" spans="1:14" x14ac:dyDescent="0.25">
      <c r="A117" s="2"/>
      <c r="B117" s="12">
        <v>2022</v>
      </c>
      <c r="C117" s="3">
        <v>1425031081176</v>
      </c>
      <c r="D117" s="3">
        <v>1790304606780</v>
      </c>
      <c r="E117" s="3">
        <f>1070094297+46178521911+979738469</f>
        <v>48228354677</v>
      </c>
      <c r="F117" s="3">
        <f>2892762662+62160623062</f>
        <v>65053385724</v>
      </c>
      <c r="G117" s="3">
        <v>1372642123456</v>
      </c>
      <c r="H117" s="3">
        <v>1209171716345</v>
      </c>
      <c r="I117" s="3">
        <v>1103519743574</v>
      </c>
      <c r="J117" s="3">
        <v>1358708497805</v>
      </c>
      <c r="K117" s="3">
        <v>195598848689</v>
      </c>
      <c r="L117" s="3">
        <v>190077226164</v>
      </c>
      <c r="M117" s="4"/>
      <c r="N117" s="50"/>
    </row>
    <row r="118" spans="1:14" x14ac:dyDescent="0.25">
      <c r="A118" s="2"/>
      <c r="B118" s="12">
        <v>2023</v>
      </c>
      <c r="C118" s="3">
        <v>1790304606780</v>
      </c>
      <c r="D118" s="3">
        <v>2296227711688</v>
      </c>
      <c r="E118" s="3">
        <f>2892762662+62160623062</f>
        <v>65053385724</v>
      </c>
      <c r="F118" s="3">
        <f>452574655+66973048683+1072020413</f>
        <v>68497643751</v>
      </c>
      <c r="G118" s="3">
        <v>1610131574095</v>
      </c>
      <c r="H118" s="3">
        <v>1514585030778</v>
      </c>
      <c r="I118" s="3">
        <v>1358708497805</v>
      </c>
      <c r="J118" s="3">
        <v>2090115884030</v>
      </c>
      <c r="K118" s="3">
        <v>324092143202</v>
      </c>
      <c r="L118" s="3">
        <v>487763293949</v>
      </c>
      <c r="M118" s="4"/>
      <c r="N118" s="50"/>
    </row>
    <row r="119" spans="1:14" x14ac:dyDescent="0.25">
      <c r="A119" s="2" t="s">
        <v>60</v>
      </c>
      <c r="B119" s="12">
        <v>2021</v>
      </c>
      <c r="C119" s="3">
        <v>1086873666641</v>
      </c>
      <c r="D119" s="3">
        <v>1146235578463</v>
      </c>
      <c r="E119" s="3">
        <f>124395919918+2326183537</f>
        <v>126722103455</v>
      </c>
      <c r="F119" s="3">
        <f>110549359898+1807385109</f>
        <v>112356745007</v>
      </c>
      <c r="G119" s="3">
        <v>198170686974</v>
      </c>
      <c r="H119" s="3">
        <v>1026449179891</v>
      </c>
      <c r="I119" s="3">
        <v>956634474111</v>
      </c>
      <c r="J119" s="3">
        <v>1019133657275</v>
      </c>
      <c r="K119" s="3">
        <v>99278807290</v>
      </c>
      <c r="L119" s="3">
        <v>213482549779</v>
      </c>
      <c r="M119" s="4"/>
      <c r="N119" s="50" t="s">
        <v>41</v>
      </c>
    </row>
    <row r="120" spans="1:14" x14ac:dyDescent="0.25">
      <c r="A120" s="2"/>
      <c r="B120" s="12">
        <v>2022</v>
      </c>
      <c r="C120" s="3">
        <v>1146235578463</v>
      </c>
      <c r="D120" s="3">
        <v>1074777460412</v>
      </c>
      <c r="E120" s="3">
        <f>110549359898+1807385109</f>
        <v>112356745007</v>
      </c>
      <c r="F120" s="3">
        <f>126820874647+822946142</f>
        <v>127643820789</v>
      </c>
      <c r="G120" s="3">
        <v>223673837741</v>
      </c>
      <c r="H120" s="3">
        <v>941454031015</v>
      </c>
      <c r="I120" s="3">
        <v>1019133657275</v>
      </c>
      <c r="J120" s="3">
        <v>1129360552136</v>
      </c>
      <c r="K120" s="3">
        <v>121257336904</v>
      </c>
      <c r="L120" s="3">
        <v>178373991059</v>
      </c>
      <c r="M120" s="4"/>
      <c r="N120" s="50"/>
    </row>
    <row r="121" spans="1:14" x14ac:dyDescent="0.25">
      <c r="A121" s="2"/>
      <c r="B121" s="12">
        <v>2023</v>
      </c>
      <c r="C121" s="3">
        <v>1074777460412</v>
      </c>
      <c r="D121" s="3">
        <v>1088726193209</v>
      </c>
      <c r="E121" s="3">
        <f>126820874647+822946142</f>
        <v>127643820789</v>
      </c>
      <c r="F121" s="3">
        <f>124423224182+903153685</f>
        <v>125326377867</v>
      </c>
      <c r="G121" s="3">
        <v>328169901126</v>
      </c>
      <c r="H121" s="3">
        <v>952639271054</v>
      </c>
      <c r="I121" s="3">
        <v>1129360552136</v>
      </c>
      <c r="J121" s="3">
        <v>1135790489555</v>
      </c>
      <c r="K121" s="3">
        <v>127426464539</v>
      </c>
      <c r="L121" s="3">
        <v>201470972367</v>
      </c>
      <c r="M121" s="4"/>
      <c r="N121" s="50"/>
    </row>
    <row r="122" spans="1:14" x14ac:dyDescent="0.25">
      <c r="A122" s="2" t="s">
        <v>61</v>
      </c>
      <c r="B122" s="12">
        <v>2021</v>
      </c>
      <c r="C122" s="3">
        <v>505077168839</v>
      </c>
      <c r="D122" s="3">
        <v>526704173504</v>
      </c>
      <c r="E122" s="3">
        <v>5133381633</v>
      </c>
      <c r="F122" s="3">
        <v>14844577500</v>
      </c>
      <c r="G122" s="3">
        <v>384180793400</v>
      </c>
      <c r="H122" s="3">
        <v>324679509187</v>
      </c>
      <c r="I122" s="3">
        <v>224296360636</v>
      </c>
      <c r="J122" s="3">
        <v>238398863725</v>
      </c>
      <c r="K122" s="3">
        <v>18368616642</v>
      </c>
      <c r="L122" s="3">
        <v>45584772931</v>
      </c>
      <c r="M122" s="4"/>
      <c r="N122" s="50" t="s">
        <v>41</v>
      </c>
    </row>
    <row r="123" spans="1:14" x14ac:dyDescent="0.25">
      <c r="A123" s="2"/>
      <c r="B123" s="12">
        <v>2022</v>
      </c>
      <c r="C123" s="3">
        <v>526704173504</v>
      </c>
      <c r="D123" s="3">
        <v>553207312282</v>
      </c>
      <c r="E123" s="3">
        <v>14844577500</v>
      </c>
      <c r="F123" s="3">
        <v>6329896725</v>
      </c>
      <c r="G123" s="3">
        <v>394722927720</v>
      </c>
      <c r="H123" s="3">
        <v>364321203318</v>
      </c>
      <c r="I123" s="3">
        <v>238398863725</v>
      </c>
      <c r="J123" s="3">
        <v>279179553590</v>
      </c>
      <c r="K123" s="3">
        <v>23952323176</v>
      </c>
      <c r="L123" s="3">
        <v>31371142434</v>
      </c>
      <c r="M123" s="4"/>
      <c r="N123" s="50"/>
    </row>
    <row r="124" spans="1:14" x14ac:dyDescent="0.25">
      <c r="A124" s="2"/>
      <c r="B124" s="12">
        <v>2023</v>
      </c>
      <c r="C124" s="3">
        <v>553207312282</v>
      </c>
      <c r="D124" s="3">
        <v>560353325935</v>
      </c>
      <c r="E124" s="3">
        <v>6329896725</v>
      </c>
      <c r="F124" s="3">
        <v>8119917500</v>
      </c>
      <c r="G124" s="3">
        <v>415182742910</v>
      </c>
      <c r="H124" s="3">
        <v>397931210948</v>
      </c>
      <c r="I124" s="3">
        <v>279179553590</v>
      </c>
      <c r="J124" s="3">
        <v>303928233031</v>
      </c>
      <c r="K124" s="3">
        <v>26963627275</v>
      </c>
      <c r="L124" s="3">
        <v>67991529561</v>
      </c>
      <c r="M124" s="4"/>
      <c r="N124" s="50"/>
    </row>
    <row r="125" spans="1:14" x14ac:dyDescent="0.25">
      <c r="A125" s="2" t="s">
        <v>62</v>
      </c>
      <c r="B125" s="12">
        <v>2021</v>
      </c>
      <c r="C125" s="3">
        <v>3401723398441</v>
      </c>
      <c r="D125" s="3">
        <v>3731907652769</v>
      </c>
      <c r="E125" s="3">
        <f>32675472987+1865390260</f>
        <v>34540863247</v>
      </c>
      <c r="F125" s="3">
        <f>154862853172+2114762776+657889</f>
        <v>156978273837</v>
      </c>
      <c r="G125" s="3">
        <v>971692187639</v>
      </c>
      <c r="H125" s="3">
        <v>1424812031387</v>
      </c>
      <c r="I125" s="3">
        <v>930503571803</v>
      </c>
      <c r="J125" s="3">
        <v>1766254650794</v>
      </c>
      <c r="K125" s="3">
        <v>213841959820</v>
      </c>
      <c r="L125" s="3">
        <v>369004599899</v>
      </c>
      <c r="M125" s="4"/>
      <c r="N125" s="50" t="s">
        <v>41</v>
      </c>
    </row>
    <row r="126" spans="1:14" x14ac:dyDescent="0.25">
      <c r="A126" s="2"/>
      <c r="B126" s="12">
        <v>2022</v>
      </c>
      <c r="C126" s="3">
        <v>3731907652769</v>
      </c>
      <c r="D126" s="3">
        <v>4140857067187</v>
      </c>
      <c r="E126" s="3">
        <f>154862853172+2114762776+657889</f>
        <v>156978273837</v>
      </c>
      <c r="F126" s="3">
        <f>63233660124+17519179875</f>
        <v>80752839999</v>
      </c>
      <c r="G126" s="3">
        <v>1108936889645</v>
      </c>
      <c r="H126" s="3">
        <v>1686092119450</v>
      </c>
      <c r="I126" s="3">
        <v>1766254650794</v>
      </c>
      <c r="J126" s="3">
        <v>1972824875264</v>
      </c>
      <c r="K126" s="3">
        <v>257682130697</v>
      </c>
      <c r="L126" s="3">
        <v>534655519938</v>
      </c>
      <c r="M126" s="4"/>
      <c r="N126" s="50"/>
    </row>
    <row r="127" spans="1:14" x14ac:dyDescent="0.25">
      <c r="A127" s="2"/>
      <c r="B127" s="12">
        <v>2023</v>
      </c>
      <c r="C127" s="3">
        <v>4140857067187</v>
      </c>
      <c r="D127" s="3">
        <v>4181183763101</v>
      </c>
      <c r="E127" s="3">
        <f>63233660124+17519179875</f>
        <v>80752839999</v>
      </c>
      <c r="F127" s="3">
        <f>19211818078+27460441678</f>
        <v>46672259756</v>
      </c>
      <c r="G127" s="3">
        <v>1041527142683</v>
      </c>
      <c r="H127" s="3">
        <v>2237120695275</v>
      </c>
      <c r="I127" s="3">
        <v>1972824875264</v>
      </c>
      <c r="J127" s="3">
        <v>2049487832334</v>
      </c>
      <c r="K127" s="3">
        <v>549244004886</v>
      </c>
      <c r="L127" s="3">
        <v>672217912692</v>
      </c>
      <c r="M127" s="4"/>
      <c r="N127" s="50"/>
    </row>
    <row r="128" spans="1:14" x14ac:dyDescent="0.25">
      <c r="A128" s="2" t="s">
        <v>63</v>
      </c>
      <c r="B128" s="12">
        <v>2021</v>
      </c>
      <c r="C128" s="3">
        <v>7644451000000</v>
      </c>
      <c r="D128" s="3">
        <v>7777887000000</v>
      </c>
      <c r="E128" s="3">
        <f>236228000000+1808584000000+15571000000+24663000000</f>
        <v>2085046000000</v>
      </c>
      <c r="F128" s="3">
        <f>244990000000+1914519000000+12529000000+8908000000</f>
        <v>2180946000000</v>
      </c>
      <c r="G128" s="3">
        <v>2505224000000</v>
      </c>
      <c r="H128" s="3">
        <v>4940631000000</v>
      </c>
      <c r="I128" s="3">
        <v>8433933000000</v>
      </c>
      <c r="J128" s="3">
        <v>9116592000000</v>
      </c>
      <c r="K128" s="3">
        <v>480060000000</v>
      </c>
      <c r="L128" s="3">
        <v>795423000000</v>
      </c>
      <c r="M128" s="4"/>
    </row>
    <row r="129" spans="1:14" x14ac:dyDescent="0.25">
      <c r="A129" s="2"/>
      <c r="B129" s="12">
        <v>2022</v>
      </c>
      <c r="C129" s="3">
        <v>7777887000000</v>
      </c>
      <c r="D129" s="3">
        <v>8382538000000</v>
      </c>
      <c r="E129" s="3">
        <f>244990000000+1914519000000+12529000000+8908000000</f>
        <v>2180946000000</v>
      </c>
      <c r="F129" s="3">
        <f>411594000000+2198420000000+11892000000+26359000000</f>
        <v>2648265000000</v>
      </c>
      <c r="G129" s="3">
        <v>2188920000000</v>
      </c>
      <c r="H129" s="3">
        <v>5163753000000</v>
      </c>
      <c r="I129" s="3">
        <v>9116592000000</v>
      </c>
      <c r="J129" s="3">
        <v>10317193000000</v>
      </c>
      <c r="K129" s="3">
        <v>313648000000</v>
      </c>
      <c r="L129" s="3">
        <v>273361000000</v>
      </c>
      <c r="M129" s="4"/>
    </row>
    <row r="130" spans="1:14" x14ac:dyDescent="0.25">
      <c r="A130" s="2"/>
      <c r="B130" s="12">
        <v>2023</v>
      </c>
      <c r="C130" s="3">
        <v>8382538000000</v>
      </c>
      <c r="D130" s="3">
        <v>8487854000000</v>
      </c>
      <c r="E130" s="3">
        <f>411594000000+2198420000000+11892000000+26359000000</f>
        <v>2648265000000</v>
      </c>
      <c r="F130" s="3">
        <f>244245000000+2131153000000+12816000000+8281000000</f>
        <v>2396495000000</v>
      </c>
      <c r="G130" s="3">
        <v>2079603000000</v>
      </c>
      <c r="H130" s="3">
        <v>5563650000000</v>
      </c>
      <c r="I130" s="3">
        <v>10317193000000</v>
      </c>
      <c r="J130" s="3">
        <v>10245160000000</v>
      </c>
      <c r="K130" s="3">
        <v>434532000000</v>
      </c>
      <c r="L130" s="3">
        <v>920206000000</v>
      </c>
      <c r="M130" s="4"/>
    </row>
    <row r="131" spans="1:14" x14ac:dyDescent="0.25">
      <c r="A131" s="2" t="s">
        <v>64</v>
      </c>
      <c r="B131" s="12">
        <v>2021</v>
      </c>
      <c r="C131" s="3">
        <v>1398568521297</v>
      </c>
      <c r="D131" s="3">
        <v>1753240850009</v>
      </c>
      <c r="E131" s="3">
        <f>5817799383+2407505849</f>
        <v>8225305232</v>
      </c>
      <c r="F131" s="3">
        <f>7746858586+4224360931</f>
        <v>11971219517</v>
      </c>
      <c r="G131" s="3">
        <v>422834602004</v>
      </c>
      <c r="H131" s="3">
        <v>781292859465</v>
      </c>
      <c r="I131" s="3">
        <v>607253410714</v>
      </c>
      <c r="J131" s="3">
        <v>895867536708</v>
      </c>
      <c r="K131" s="3">
        <v>259650288797</v>
      </c>
      <c r="L131" s="3">
        <v>390318298080</v>
      </c>
      <c r="M131" s="4"/>
      <c r="N131" s="50" t="s">
        <v>41</v>
      </c>
    </row>
    <row r="132" spans="1:14" x14ac:dyDescent="0.25">
      <c r="A132" s="2"/>
      <c r="B132" s="12">
        <v>2022</v>
      </c>
      <c r="C132" s="3">
        <v>1753240850009</v>
      </c>
      <c r="D132" s="3">
        <v>1835253997038</v>
      </c>
      <c r="E132" s="3">
        <f>7746858586+4224360931</f>
        <v>11971219517</v>
      </c>
      <c r="F132" s="3">
        <f>13975631725+3976029529</f>
        <v>17951661254</v>
      </c>
      <c r="G132" s="3">
        <v>542534101779</v>
      </c>
      <c r="H132" s="3">
        <v>963111881039</v>
      </c>
      <c r="I132" s="3">
        <v>895867536708</v>
      </c>
      <c r="J132" s="3">
        <v>970572083452</v>
      </c>
      <c r="K132" s="3">
        <v>252406668731</v>
      </c>
      <c r="L132" s="3">
        <v>401335531740</v>
      </c>
      <c r="M132" s="4"/>
      <c r="N132" s="50"/>
    </row>
    <row r="133" spans="1:14" x14ac:dyDescent="0.25">
      <c r="A133" s="2"/>
      <c r="B133" s="12">
        <v>2023</v>
      </c>
      <c r="C133" s="3">
        <v>1835253997038</v>
      </c>
      <c r="D133" s="3">
        <v>1842857630843</v>
      </c>
      <c r="E133" s="3">
        <f>13975631725+3976029529</f>
        <v>17951661254</v>
      </c>
      <c r="F133" s="3">
        <f>6981505890+3828011922</f>
        <v>10809517812</v>
      </c>
      <c r="G133" s="3">
        <v>700714410556</v>
      </c>
      <c r="H133" s="3">
        <v>1115171555082</v>
      </c>
      <c r="I133" s="3">
        <v>970572083452</v>
      </c>
      <c r="J133" s="3">
        <v>875512425564</v>
      </c>
      <c r="K133" s="3">
        <v>146138989067</v>
      </c>
      <c r="L133" s="3">
        <v>192491057415</v>
      </c>
      <c r="M133" s="4"/>
      <c r="N133" s="50"/>
    </row>
    <row r="134" spans="1:14" x14ac:dyDescent="0.25">
      <c r="A134" s="2" t="s">
        <v>65</v>
      </c>
      <c r="B134" s="12">
        <v>2021</v>
      </c>
      <c r="C134" s="3">
        <v>5680638000000</v>
      </c>
      <c r="D134" s="3">
        <v>6297287000000</v>
      </c>
      <c r="E134" s="3">
        <v>913991000000</v>
      </c>
      <c r="F134" s="3">
        <v>993941000000</v>
      </c>
      <c r="G134" s="3">
        <v>2107755000000</v>
      </c>
      <c r="H134" s="3">
        <v>5019381000000</v>
      </c>
      <c r="I134" s="3">
        <v>6110155000000</v>
      </c>
      <c r="J134" s="3">
        <v>6973718000000</v>
      </c>
      <c r="K134" s="3">
        <v>351470000000</v>
      </c>
      <c r="L134" s="3">
        <v>570500000000</v>
      </c>
      <c r="M134" s="4"/>
    </row>
    <row r="135" spans="1:14" x14ac:dyDescent="0.25">
      <c r="A135" s="2"/>
      <c r="B135" s="12">
        <v>2022</v>
      </c>
      <c r="C135" s="3">
        <v>6297287000000</v>
      </c>
      <c r="D135" s="3">
        <v>6878297000000</v>
      </c>
      <c r="E135" s="3">
        <v>993941000000</v>
      </c>
      <c r="F135" s="3">
        <v>985129000000</v>
      </c>
      <c r="G135" s="3">
        <v>2298552000000</v>
      </c>
      <c r="H135" s="3">
        <v>5411262000000</v>
      </c>
      <c r="I135" s="3">
        <v>6973718000000</v>
      </c>
      <c r="J135" s="3">
        <v>8461768000000</v>
      </c>
      <c r="K135" s="3">
        <v>382105000000</v>
      </c>
      <c r="L135" s="3">
        <v>-99776000000</v>
      </c>
      <c r="M135" s="4"/>
    </row>
    <row r="136" spans="1:14" x14ac:dyDescent="0.25">
      <c r="A136" s="2"/>
      <c r="B136" s="12">
        <v>2023</v>
      </c>
      <c r="C136" s="3">
        <v>6878297000000</v>
      </c>
      <c r="D136" s="3">
        <v>7166880000000</v>
      </c>
      <c r="E136" s="3">
        <v>985129000000</v>
      </c>
      <c r="F136" s="3">
        <v>1109670000000</v>
      </c>
      <c r="G136" s="3">
        <v>2712720000000</v>
      </c>
      <c r="H136" s="3">
        <v>5831732000000</v>
      </c>
      <c r="I136" s="3">
        <v>8461768000000</v>
      </c>
      <c r="J136" s="3">
        <v>9239926000000</v>
      </c>
      <c r="K136" s="3">
        <v>319078000000</v>
      </c>
      <c r="L136" s="3">
        <v>210076000000</v>
      </c>
      <c r="M136" s="4"/>
    </row>
    <row r="137" spans="1:14" x14ac:dyDescent="0.25">
      <c r="A137" s="2" t="s">
        <v>66</v>
      </c>
      <c r="B137" s="12">
        <v>2021</v>
      </c>
      <c r="C137" s="3">
        <v>1817499225034</v>
      </c>
      <c r="D137" s="3">
        <v>2497154377254</v>
      </c>
      <c r="E137" s="3">
        <f>6631427579+254259812</f>
        <v>6885687391</v>
      </c>
      <c r="F137" s="3">
        <f>773717354+54068465999+9711121769</f>
        <v>64553305122</v>
      </c>
      <c r="G137" s="3">
        <v>1122794967757</v>
      </c>
      <c r="H137" s="3">
        <v>1541454252144</v>
      </c>
      <c r="I137" s="3">
        <v>475252008248</v>
      </c>
      <c r="J137" s="3">
        <v>786686008070</v>
      </c>
      <c r="K137" s="3">
        <v>31335528055</v>
      </c>
      <c r="L137" s="3">
        <v>108333153222</v>
      </c>
      <c r="M137" s="4"/>
      <c r="N137" s="50" t="s">
        <v>41</v>
      </c>
    </row>
    <row r="138" spans="1:14" x14ac:dyDescent="0.25">
      <c r="A138" s="2"/>
      <c r="B138" s="12">
        <v>2022</v>
      </c>
      <c r="C138" s="3">
        <v>2497154377254</v>
      </c>
      <c r="D138" s="3">
        <v>2347517612881</v>
      </c>
      <c r="E138" s="3">
        <f>773717354+54068465999+9711121769</f>
        <v>64553305122</v>
      </c>
      <c r="F138" s="3">
        <f>245942770+60895673652+1951771831</f>
        <v>63093388253</v>
      </c>
      <c r="G138" s="3">
        <v>1122984716580</v>
      </c>
      <c r="H138" s="3">
        <v>1429166103716</v>
      </c>
      <c r="I138" s="3">
        <v>786686008070</v>
      </c>
      <c r="J138" s="3">
        <v>1007305060864</v>
      </c>
      <c r="K138" s="3">
        <v>167246545379</v>
      </c>
      <c r="L138" s="3">
        <v>213075287779</v>
      </c>
      <c r="M138" s="4"/>
      <c r="N138" s="50"/>
    </row>
    <row r="139" spans="1:14" x14ac:dyDescent="0.25">
      <c r="A139" s="2"/>
      <c r="B139" s="12">
        <v>2023</v>
      </c>
      <c r="C139" s="3">
        <v>2347517612881</v>
      </c>
      <c r="D139" s="3">
        <v>2591476467270</v>
      </c>
      <c r="E139" s="3">
        <f>245942770+60895673652+1951771831</f>
        <v>63093388253</v>
      </c>
      <c r="F139" s="3">
        <f>64422246872+898035402</f>
        <v>65320282274</v>
      </c>
      <c r="G139" s="3">
        <v>1219714107993</v>
      </c>
      <c r="H139" s="3">
        <v>1626074845771</v>
      </c>
      <c r="I139" s="3">
        <v>1007305060864</v>
      </c>
      <c r="J139" s="3">
        <v>868456776538</v>
      </c>
      <c r="K139" s="3">
        <v>108056587588</v>
      </c>
      <c r="L139" s="3">
        <v>355175776509</v>
      </c>
      <c r="M139" s="4"/>
      <c r="N139" s="50"/>
    </row>
    <row r="140" spans="1:14" x14ac:dyDescent="0.25">
      <c r="A140" s="2" t="s">
        <v>67</v>
      </c>
      <c r="B140" s="12">
        <v>2021</v>
      </c>
      <c r="C140" s="3">
        <v>7800327777736</v>
      </c>
      <c r="D140" s="3">
        <v>7934144926261</v>
      </c>
      <c r="E140" s="3">
        <f>32652471773+10790330797+130492155+1854703586</f>
        <v>45427998311</v>
      </c>
      <c r="F140" s="3">
        <f>47218403362+5909981631+64289753+4611204557</f>
        <v>57803879303</v>
      </c>
      <c r="G140" s="3">
        <v>2457282806218</v>
      </c>
      <c r="H140" s="3">
        <v>3185826608815</v>
      </c>
      <c r="I140" s="3">
        <v>2617336401866</v>
      </c>
      <c r="J140" s="3">
        <v>3390496525189</v>
      </c>
      <c r="K140" s="3">
        <v>407516031006</v>
      </c>
      <c r="L140" s="3">
        <v>1014779268053</v>
      </c>
      <c r="M140" s="4"/>
      <c r="N140" s="50" t="s">
        <v>41</v>
      </c>
    </row>
    <row r="141" spans="1:14" x14ac:dyDescent="0.25">
      <c r="A141" s="2"/>
      <c r="B141" s="12">
        <v>2022</v>
      </c>
      <c r="C141" s="3">
        <v>7934144926261</v>
      </c>
      <c r="D141" s="3">
        <v>8624008934687</v>
      </c>
      <c r="E141" s="3">
        <f>47218403362+5909981631+64289753+4611204557</f>
        <v>57803879303</v>
      </c>
      <c r="F141" s="3">
        <f>70608975680+50747177119+60261855+8579272647</f>
        <v>129995687301</v>
      </c>
      <c r="G141" s="3">
        <v>2525142550444</v>
      </c>
      <c r="H141" s="3">
        <v>3899011991141</v>
      </c>
      <c r="I141" s="3">
        <v>3390496525189</v>
      </c>
      <c r="J141" s="3">
        <v>4828633601246</v>
      </c>
      <c r="K141" s="3">
        <v>749310939262</v>
      </c>
      <c r="L141" s="3">
        <v>1895737342505</v>
      </c>
      <c r="M141" s="4"/>
      <c r="N141" s="50"/>
    </row>
    <row r="142" spans="1:14" x14ac:dyDescent="0.25">
      <c r="A142" s="2"/>
      <c r="B142" s="12">
        <v>2023</v>
      </c>
      <c r="C142" s="3">
        <v>8624008934687</v>
      </c>
      <c r="D142" s="3">
        <v>8634035445735</v>
      </c>
      <c r="E142" s="3">
        <f>70608975680+50747177119+60261855+8579272647</f>
        <v>129995687301</v>
      </c>
      <c r="F142" s="3">
        <f>79686742395+99282685642+117604667+23303429758</f>
        <v>202390462462</v>
      </c>
      <c r="G142" s="3">
        <v>2602375729615</v>
      </c>
      <c r="H142" s="3">
        <v>4063648978866</v>
      </c>
      <c r="I142" s="3">
        <v>4828633601246</v>
      </c>
      <c r="J142" s="3">
        <v>5062243740223</v>
      </c>
      <c r="K142" s="3">
        <v>161679000832</v>
      </c>
      <c r="L142" s="3">
        <v>1030969177395</v>
      </c>
      <c r="M142" s="4"/>
      <c r="N142" s="50"/>
    </row>
    <row r="143" spans="1:14" x14ac:dyDescent="0.25">
      <c r="A143" s="2" t="s">
        <v>68</v>
      </c>
      <c r="B143" s="12">
        <v>2021</v>
      </c>
      <c r="C143" s="3">
        <v>12323970000000</v>
      </c>
      <c r="D143" s="3">
        <v>12446326000000</v>
      </c>
      <c r="E143" s="3">
        <f>120009000000+25890000000</f>
        <v>145899000000</v>
      </c>
      <c r="F143" s="3">
        <f>59756000000+387000000+10859000000</f>
        <v>71002000000</v>
      </c>
      <c r="G143" s="3">
        <v>7118593000000</v>
      </c>
      <c r="H143" s="3">
        <v>7796011000000</v>
      </c>
      <c r="I143" s="3">
        <v>5265785000000</v>
      </c>
      <c r="J143" s="3">
        <v>6278123000000</v>
      </c>
      <c r="K143" s="3">
        <v>1198747000000</v>
      </c>
      <c r="L143" s="3">
        <v>1455015000000</v>
      </c>
      <c r="M143" s="4"/>
    </row>
    <row r="144" spans="1:14" x14ac:dyDescent="0.25">
      <c r="A144" s="2"/>
      <c r="B144" s="12">
        <v>2022</v>
      </c>
      <c r="C144" s="3">
        <v>12446326000000</v>
      </c>
      <c r="D144" s="3">
        <v>14526124000000</v>
      </c>
      <c r="E144" s="3">
        <f>59756000000+387000000+10859000000</f>
        <v>71002000000</v>
      </c>
      <c r="F144" s="3">
        <f>121265000000+291000000+125304000000</f>
        <v>246860000000</v>
      </c>
      <c r="G144" s="3">
        <v>7292712000000</v>
      </c>
      <c r="H144" s="3">
        <v>10412744000000</v>
      </c>
      <c r="I144" s="3">
        <v>6278123000000</v>
      </c>
      <c r="J144" s="3">
        <v>9345641000000</v>
      </c>
      <c r="K144" s="3">
        <v>3088745000000</v>
      </c>
      <c r="L144" s="3">
        <v>3175480000000</v>
      </c>
      <c r="M144" s="4"/>
    </row>
    <row r="145" spans="1:14" x14ac:dyDescent="0.25">
      <c r="A145" s="2"/>
      <c r="B145" s="12">
        <v>2023</v>
      </c>
      <c r="C145" s="3">
        <v>14526124000000</v>
      </c>
      <c r="D145" s="3">
        <v>13867387000000</v>
      </c>
      <c r="E145" s="3">
        <f>121265000000+291000000+125304000000</f>
        <v>246860000000</v>
      </c>
      <c r="F145" s="3">
        <f>85020000000+22501000000+21000000</f>
        <v>107542000000</v>
      </c>
      <c r="G145" s="3">
        <v>7482594000000</v>
      </c>
      <c r="H145" s="3">
        <v>11339540000000</v>
      </c>
      <c r="I145" s="3">
        <v>9345641000000</v>
      </c>
      <c r="J145" s="3">
        <v>8325887000000</v>
      </c>
      <c r="K145" s="3">
        <v>1661258000000</v>
      </c>
      <c r="L145" s="3">
        <v>1569363000000</v>
      </c>
      <c r="M145" s="4"/>
    </row>
    <row r="146" spans="1:14" x14ac:dyDescent="0.25">
      <c r="A146" s="2" t="s">
        <v>69</v>
      </c>
      <c r="B146" s="12">
        <v>2021</v>
      </c>
      <c r="C146" s="3">
        <v>1086782000000</v>
      </c>
      <c r="D146" s="3">
        <v>5603779000000</v>
      </c>
      <c r="E146" s="3">
        <f>308203000000+13148000000+1722000000+2141000000</f>
        <v>325214000000</v>
      </c>
      <c r="F146" s="3">
        <f>628086000000+6402000000+5188000000+16844000000</f>
        <v>656520000000</v>
      </c>
      <c r="G146" s="3">
        <v>667666000000</v>
      </c>
      <c r="H146" s="3">
        <v>4696939000000</v>
      </c>
      <c r="I146" s="3">
        <v>1861963000000</v>
      </c>
      <c r="J146" s="3">
        <v>4095689000000</v>
      </c>
      <c r="K146" s="3">
        <v>790229000000</v>
      </c>
      <c r="L146" s="3">
        <v>725649000000</v>
      </c>
      <c r="M146" s="4"/>
    </row>
    <row r="147" spans="1:14" x14ac:dyDescent="0.25">
      <c r="A147" s="2"/>
      <c r="B147" s="12">
        <v>2022</v>
      </c>
      <c r="C147" s="3">
        <v>5603779000000</v>
      </c>
      <c r="D147" s="3">
        <v>6223251000000</v>
      </c>
      <c r="E147" s="3">
        <f>628086000000+6402000000+5188000000+16844000000</f>
        <v>656520000000</v>
      </c>
      <c r="F147" s="3">
        <f>763777000000+7632000000+7468000000+1578000000</f>
        <v>780455000000</v>
      </c>
      <c r="G147" s="3">
        <v>1266586000000</v>
      </c>
      <c r="H147" s="3">
        <v>5258332000000</v>
      </c>
      <c r="I147" s="3">
        <v>4095689000000</v>
      </c>
      <c r="J147" s="3">
        <v>6378348000000</v>
      </c>
      <c r="K147" s="3">
        <v>1060582000000</v>
      </c>
      <c r="L147" s="3">
        <v>485962000000</v>
      </c>
      <c r="M147" s="4"/>
    </row>
    <row r="148" spans="1:14" x14ac:dyDescent="0.25">
      <c r="A148" s="2"/>
      <c r="B148" s="12">
        <v>2023</v>
      </c>
      <c r="C148" s="3">
        <v>6223251000000</v>
      </c>
      <c r="D148" s="3">
        <v>7046857000000</v>
      </c>
      <c r="E148" s="3">
        <f>763777000000+7632000000+7468000000+1578000000</f>
        <v>780455000000</v>
      </c>
      <c r="F148" s="3">
        <f>869009000000+9879000000+16795000000</f>
        <v>895683000000</v>
      </c>
      <c r="G148" s="3">
        <v>1647085000000</v>
      </c>
      <c r="H148" s="3">
        <v>5941328000000</v>
      </c>
      <c r="I148" s="3">
        <v>6378348000000</v>
      </c>
      <c r="J148" s="3">
        <v>7772910000000</v>
      </c>
      <c r="K148" s="3">
        <v>1241780000000</v>
      </c>
      <c r="L148" s="3">
        <v>1424316000000</v>
      </c>
      <c r="M148" s="4"/>
      <c r="N148" s="13"/>
    </row>
    <row r="149" spans="1:14" x14ac:dyDescent="0.25">
      <c r="A149" s="2" t="s">
        <v>70</v>
      </c>
      <c r="B149" s="12">
        <v>2021</v>
      </c>
      <c r="C149" s="3">
        <v>186445787000</v>
      </c>
      <c r="D149" s="3">
        <v>284301347000</v>
      </c>
      <c r="E149" s="3">
        <v>395002000</v>
      </c>
      <c r="F149" s="3">
        <f>1735262000</f>
        <v>1735262000</v>
      </c>
      <c r="G149" s="3">
        <v>178730833000</v>
      </c>
      <c r="H149" s="3">
        <v>278923096000</v>
      </c>
      <c r="I149" s="3">
        <v>15363890000</v>
      </c>
      <c r="J149" s="3">
        <v>30017394000</v>
      </c>
      <c r="K149" s="3">
        <v>2915091000</v>
      </c>
      <c r="L149" s="3">
        <v>-14960885000</v>
      </c>
      <c r="M149" s="4"/>
      <c r="N149" s="53" t="s">
        <v>72</v>
      </c>
    </row>
    <row r="150" spans="1:14" x14ac:dyDescent="0.25">
      <c r="A150" s="2"/>
      <c r="B150" s="12">
        <v>2022</v>
      </c>
      <c r="C150" s="3">
        <v>284301347000</v>
      </c>
      <c r="D150" s="3">
        <v>290584130000</v>
      </c>
      <c r="E150" s="3">
        <f>1735262000</f>
        <v>1735262000</v>
      </c>
      <c r="F150" s="3">
        <v>1541185000</v>
      </c>
      <c r="G150" s="3">
        <v>185549109000</v>
      </c>
      <c r="H150" s="3">
        <v>282456106000</v>
      </c>
      <c r="I150" s="3">
        <v>30017394000</v>
      </c>
      <c r="J150" s="3">
        <v>35020275000</v>
      </c>
      <c r="K150" s="3">
        <v>3564619000</v>
      </c>
      <c r="L150" s="3">
        <v>10134121000</v>
      </c>
      <c r="M150" s="4"/>
      <c r="N150" s="53"/>
    </row>
    <row r="151" spans="1:14" x14ac:dyDescent="0.25">
      <c r="A151" s="2"/>
      <c r="B151" s="12">
        <v>2023</v>
      </c>
      <c r="C151" s="3">
        <v>290584130000</v>
      </c>
      <c r="D151" s="3">
        <v>301272376000</v>
      </c>
      <c r="E151" s="3">
        <v>1541185000</v>
      </c>
      <c r="F151" s="3">
        <f>4758755000</f>
        <v>4758755000</v>
      </c>
      <c r="G151" s="3">
        <v>201333848000</v>
      </c>
      <c r="H151" s="3">
        <v>286276184000</v>
      </c>
      <c r="I151" s="3">
        <v>35020275000</v>
      </c>
      <c r="J151" s="3">
        <v>35730275000</v>
      </c>
      <c r="K151" s="3">
        <v>3861987000</v>
      </c>
      <c r="L151" s="3">
        <v>-2150874000</v>
      </c>
      <c r="M151" s="4"/>
      <c r="N151" s="53"/>
    </row>
    <row r="152" spans="1:14" x14ac:dyDescent="0.25">
      <c r="A152" s="2" t="s">
        <v>71</v>
      </c>
      <c r="B152" s="12">
        <v>2021</v>
      </c>
      <c r="C152" s="3">
        <v>5082421000000</v>
      </c>
      <c r="D152" s="3">
        <v>5858580000000</v>
      </c>
      <c r="E152" s="3">
        <f>93226000000+65000000+4966000000+65000000</f>
        <v>98322000000</v>
      </c>
      <c r="F152" s="3">
        <f>37137000000+2495000000+177000000</f>
        <v>39809000000</v>
      </c>
      <c r="G152" s="3">
        <v>3882392000000</v>
      </c>
      <c r="H152" s="3">
        <v>3098118000000</v>
      </c>
      <c r="I152" s="3">
        <v>4203947000000</v>
      </c>
      <c r="J152" s="3">
        <v>5883920000000</v>
      </c>
      <c r="K152" s="3">
        <v>1239313000000</v>
      </c>
      <c r="L152" s="3">
        <v>1770527000000</v>
      </c>
      <c r="M152" s="4"/>
    </row>
    <row r="153" spans="1:14" x14ac:dyDescent="0.25">
      <c r="A153" s="2"/>
      <c r="B153" s="12">
        <v>2022</v>
      </c>
      <c r="C153" s="3">
        <v>5858580000000</v>
      </c>
      <c r="D153" s="3">
        <v>7012183000000</v>
      </c>
      <c r="E153" s="3">
        <f>37137000000+2495000000+177000000</f>
        <v>39809000000</v>
      </c>
      <c r="F153" s="3">
        <f>90798000000+5518000000+4077000000</f>
        <v>100393000000</v>
      </c>
      <c r="G153" s="3">
        <v>4092517000000</v>
      </c>
      <c r="H153" s="3">
        <v>4643310000000</v>
      </c>
      <c r="I153" s="3">
        <v>5883920000000</v>
      </c>
      <c r="J153" s="3">
        <v>6045448000000</v>
      </c>
      <c r="K153" s="3">
        <v>1280861000000</v>
      </c>
      <c r="L153" s="3">
        <v>1431297000000</v>
      </c>
      <c r="M153" s="4"/>
    </row>
    <row r="154" spans="1:14" x14ac:dyDescent="0.25">
      <c r="A154" s="2"/>
      <c r="B154" s="12">
        <v>2023</v>
      </c>
      <c r="C154" s="3">
        <v>7012183000000</v>
      </c>
      <c r="D154" s="3">
        <v>6681163000000</v>
      </c>
      <c r="E154" s="3">
        <f>90798000000+5518000000+4077000000</f>
        <v>100393000000</v>
      </c>
      <c r="F154" s="3">
        <f>93729000000+5728000000+128000000</f>
        <v>99585000000</v>
      </c>
      <c r="G154" s="3">
        <v>4380972000000</v>
      </c>
      <c r="H154" s="3">
        <v>4803678000000</v>
      </c>
      <c r="I154" s="3">
        <v>6045448000000</v>
      </c>
      <c r="J154" s="3">
        <v>5285201000000</v>
      </c>
      <c r="K154" s="3">
        <v>782252000000</v>
      </c>
      <c r="L154" s="3">
        <v>1045411000000</v>
      </c>
      <c r="M154" s="4"/>
    </row>
    <row r="155" spans="1:14" x14ac:dyDescent="0.25">
      <c r="A155" s="1" t="s">
        <v>28</v>
      </c>
      <c r="B155" s="12">
        <v>2021</v>
      </c>
      <c r="C155" s="3">
        <v>1970340289520</v>
      </c>
      <c r="D155" s="3">
        <v>2243523072803</v>
      </c>
      <c r="E155" s="3">
        <f>577258937189+37334730323+1413912149</f>
        <v>616007579661</v>
      </c>
      <c r="F155" s="3">
        <f>645746213801+35752013917+953025114</f>
        <v>682451252832</v>
      </c>
      <c r="G155" s="3">
        <v>766149629601</v>
      </c>
      <c r="H155" s="3">
        <v>1573169882477</v>
      </c>
      <c r="I155" s="3">
        <v>2211743593136</v>
      </c>
      <c r="J155" s="3">
        <v>2554880982584</v>
      </c>
      <c r="K155" s="3">
        <v>475983374390</v>
      </c>
      <c r="L155" s="3">
        <v>499071136681</v>
      </c>
      <c r="M155" s="4"/>
      <c r="N155" s="50" t="s">
        <v>41</v>
      </c>
    </row>
    <row r="156" spans="1:14" x14ac:dyDescent="0.25">
      <c r="A156" s="1"/>
      <c r="B156" s="12">
        <v>2022</v>
      </c>
      <c r="C156" s="3">
        <v>2243523072803</v>
      </c>
      <c r="D156" s="3">
        <v>2578868615545</v>
      </c>
      <c r="E156" s="3">
        <f>645746213801+35752013917+953025114</f>
        <v>682451252832</v>
      </c>
      <c r="F156" s="3">
        <f>698144786602+36068039437+878781732</f>
        <v>735091607771</v>
      </c>
      <c r="G156" s="3">
        <v>945337647904</v>
      </c>
      <c r="H156" s="3">
        <v>1833173357237</v>
      </c>
      <c r="I156" s="3">
        <v>2554880982584</v>
      </c>
      <c r="J156" s="3">
        <v>2586665297217</v>
      </c>
      <c r="K156" s="3">
        <v>581557410601</v>
      </c>
      <c r="L156" s="3">
        <v>465550947703</v>
      </c>
      <c r="M156" s="4"/>
      <c r="N156" s="50"/>
    </row>
    <row r="157" spans="1:14" x14ac:dyDescent="0.25">
      <c r="A157" s="1"/>
      <c r="B157" s="12">
        <v>2023</v>
      </c>
      <c r="C157" s="3">
        <v>2578868615545</v>
      </c>
      <c r="D157" s="3">
        <v>2620491657384</v>
      </c>
      <c r="E157" s="3">
        <f>698144786602+36068039437+878781732</f>
        <v>735091607771</v>
      </c>
      <c r="F157" s="3">
        <f>802962424172+52613894454+1698849159</f>
        <v>857275167785</v>
      </c>
      <c r="G157" s="3">
        <v>1007121724799</v>
      </c>
      <c r="H157" s="3">
        <v>1855036456226</v>
      </c>
      <c r="I157" s="3">
        <v>2586665297217</v>
      </c>
      <c r="J157" s="3">
        <v>2447442037597</v>
      </c>
      <c r="K157" s="3">
        <v>449080121387</v>
      </c>
      <c r="L157" s="3">
        <v>344011362465</v>
      </c>
      <c r="M157" s="4"/>
      <c r="N157" s="50"/>
    </row>
    <row r="158" spans="1:14" x14ac:dyDescent="0.25">
      <c r="A158" s="1" t="s">
        <v>29</v>
      </c>
      <c r="B158" s="12">
        <v>2021</v>
      </c>
      <c r="C158" s="3">
        <v>2288831000000</v>
      </c>
      <c r="D158" s="3">
        <v>2655278000000</v>
      </c>
      <c r="E158" s="3">
        <f>360708000000+106466000000+14871000000</f>
        <v>482045000000</v>
      </c>
      <c r="F158" s="3">
        <f>478616000000+167862000000+8889000000</f>
        <v>655367000000</v>
      </c>
      <c r="G158" s="3">
        <v>352919000000</v>
      </c>
      <c r="H158" s="3">
        <v>1627653000000</v>
      </c>
      <c r="I158" s="3">
        <v>3348871000000</v>
      </c>
      <c r="J158" s="3">
        <v>3299105000000</v>
      </c>
      <c r="K158" s="3">
        <v>87311000000</v>
      </c>
      <c r="L158" s="3">
        <v>616103000000</v>
      </c>
      <c r="M158" s="4"/>
      <c r="N158" s="13"/>
    </row>
    <row r="159" spans="1:14" x14ac:dyDescent="0.25">
      <c r="A159" s="1"/>
      <c r="B159" s="12">
        <v>2022</v>
      </c>
      <c r="C159" s="3">
        <v>2655278000000</v>
      </c>
      <c r="D159" s="3">
        <v>2677651000000</v>
      </c>
      <c r="E159" s="3">
        <f>478616000000+167862000000+8889000000</f>
        <v>655367000000</v>
      </c>
      <c r="F159" s="3">
        <f>345965000000+211636000000+4939000000</f>
        <v>562540000000</v>
      </c>
      <c r="G159" s="3">
        <v>339561000000</v>
      </c>
      <c r="H159" s="3">
        <v>1693222000000</v>
      </c>
      <c r="I159" s="3">
        <v>3299105000000</v>
      </c>
      <c r="J159" s="3">
        <v>2909972000000</v>
      </c>
      <c r="K159" s="3">
        <v>97071000000</v>
      </c>
      <c r="L159" s="3">
        <v>284587000000</v>
      </c>
      <c r="M159" s="4"/>
      <c r="N159" s="13"/>
    </row>
    <row r="160" spans="1:14" x14ac:dyDescent="0.25">
      <c r="A160" s="1"/>
      <c r="B160" s="12">
        <v>2023</v>
      </c>
      <c r="C160" s="3">
        <v>2677651000000</v>
      </c>
      <c r="D160" s="3">
        <v>2682813000000</v>
      </c>
      <c r="E160" s="3">
        <f>345965000000+211636000000+4939000000</f>
        <v>562540000000</v>
      </c>
      <c r="F160" s="3">
        <f>313895000000+180266000000+5474000000</f>
        <v>499635000000</v>
      </c>
      <c r="G160" s="3">
        <v>415061000000</v>
      </c>
      <c r="H160" s="3">
        <v>1791902000000</v>
      </c>
      <c r="I160" s="3">
        <v>2909972000000</v>
      </c>
      <c r="J160" s="3">
        <v>2968952000000</v>
      </c>
      <c r="K160" s="3">
        <v>141073000000</v>
      </c>
      <c r="L160" s="3">
        <v>97102000000</v>
      </c>
      <c r="M160" s="4"/>
      <c r="N160" s="13"/>
    </row>
    <row r="161" spans="1:14" x14ac:dyDescent="0.25">
      <c r="A161" s="1" t="s">
        <v>30</v>
      </c>
      <c r="B161" s="12">
        <v>2021</v>
      </c>
      <c r="C161" s="3">
        <v>338203000000000</v>
      </c>
      <c r="D161" s="3">
        <v>367311000000000</v>
      </c>
      <c r="E161" s="3">
        <f>1475000000000+15556000000000+580000000000+4317000000000+32379000000000</f>
        <v>54307000000000</v>
      </c>
      <c r="F161" s="3">
        <f>1925000000000+19905000000000+691000000000+3782000000000+34458000000000</f>
        <v>60761000000000</v>
      </c>
      <c r="G161" s="3">
        <v>55349000000000</v>
      </c>
      <c r="H161" s="3">
        <v>215615000000000</v>
      </c>
      <c r="I161" s="3">
        <v>175046000000000</v>
      </c>
      <c r="J161" s="3">
        <v>233485000000000</v>
      </c>
      <c r="K161" s="3">
        <v>25586000000000</v>
      </c>
      <c r="L161" s="3">
        <v>38252000000000</v>
      </c>
      <c r="M161" s="4"/>
      <c r="N161" s="52" t="s">
        <v>73</v>
      </c>
    </row>
    <row r="162" spans="1:14" x14ac:dyDescent="0.25">
      <c r="A162" s="1"/>
      <c r="B162" s="12">
        <v>2022</v>
      </c>
      <c r="C162" s="3">
        <v>367311000000000</v>
      </c>
      <c r="D162" s="3">
        <v>413297000000000</v>
      </c>
      <c r="E162" s="3">
        <f>1925000000000+19905000000000+691000000000+3782000000000+34458000000000</f>
        <v>60761000000000</v>
      </c>
      <c r="F162" s="3">
        <f>2467000000000+26958000000000+36838000000000+599000000000+4977000000000</f>
        <v>71839000000000</v>
      </c>
      <c r="G162" s="3">
        <v>59536000000000</v>
      </c>
      <c r="H162" s="3">
        <v>243720000000000</v>
      </c>
      <c r="I162" s="3">
        <v>233485000000000</v>
      </c>
      <c r="J162" s="3">
        <v>301379000000000</v>
      </c>
      <c r="K162" s="3">
        <v>40420000000000</v>
      </c>
      <c r="L162" s="3">
        <v>37342000000000</v>
      </c>
      <c r="M162" s="4"/>
      <c r="N162" s="52"/>
    </row>
    <row r="163" spans="1:14" x14ac:dyDescent="0.25">
      <c r="A163" s="1"/>
      <c r="B163" s="12">
        <v>2023</v>
      </c>
      <c r="C163" s="3">
        <v>413297000000000</v>
      </c>
      <c r="D163" s="3">
        <v>445679000000000</v>
      </c>
      <c r="E163" s="3">
        <f>2467000000000+26958000000000+36838000000000+599000000000+4977000000000</f>
        <v>71839000000000</v>
      </c>
      <c r="F163" s="3">
        <f>3301000000000+24637000000000+38568000000000+733000000000+4988000000000</f>
        <v>72227000000000</v>
      </c>
      <c r="G163" s="3">
        <v>72911000000000</v>
      </c>
      <c r="H163" s="3">
        <v>250418000000000</v>
      </c>
      <c r="I163" s="3">
        <v>301379000000000</v>
      </c>
      <c r="J163" s="3">
        <v>316565000000000</v>
      </c>
      <c r="K163" s="3">
        <v>44501000000000</v>
      </c>
      <c r="L163" s="3">
        <v>33746000000000</v>
      </c>
      <c r="M163" s="4"/>
      <c r="N163" s="52"/>
    </row>
    <row r="164" spans="1:14" x14ac:dyDescent="0.25">
      <c r="A164" s="1" t="s">
        <v>31</v>
      </c>
      <c r="B164" s="12">
        <v>2021</v>
      </c>
      <c r="C164" s="3">
        <v>59484422000000</v>
      </c>
      <c r="D164" s="3">
        <v>63451383000000</v>
      </c>
      <c r="E164" s="3">
        <f>39676000000+3450343000000</f>
        <v>3490019000000</v>
      </c>
      <c r="F164" s="3">
        <f>21488000000+3557277000000</f>
        <v>3578765000000</v>
      </c>
      <c r="G164" s="3">
        <v>16122174000000</v>
      </c>
      <c r="H164" s="3">
        <v>36293600000000</v>
      </c>
      <c r="I164" s="3">
        <v>11518797000000</v>
      </c>
      <c r="J164" s="3">
        <v>13233657000000</v>
      </c>
      <c r="K164" s="3">
        <v>2537845000000</v>
      </c>
      <c r="L164" s="3">
        <v>5750676000000</v>
      </c>
      <c r="M164" s="4"/>
    </row>
    <row r="165" spans="1:14" x14ac:dyDescent="0.25">
      <c r="A165" s="1"/>
      <c r="B165" s="12">
        <v>2022</v>
      </c>
      <c r="C165" s="3">
        <v>63451383000000</v>
      </c>
      <c r="D165" s="3">
        <v>69099804000000</v>
      </c>
      <c r="E165" s="3">
        <f>21488000000+3557277000000</f>
        <v>3578765000000</v>
      </c>
      <c r="F165" s="3">
        <f>27502000000+3699546000000</f>
        <v>3727048000000</v>
      </c>
      <c r="G165" s="3">
        <v>16487185000000</v>
      </c>
      <c r="H165" s="3">
        <v>39432248000000</v>
      </c>
      <c r="I165" s="3">
        <v>13233657000000</v>
      </c>
      <c r="J165" s="3">
        <v>11642428000000</v>
      </c>
      <c r="K165" s="3">
        <v>2682220000000</v>
      </c>
      <c r="L165" s="3">
        <v>4162541000000</v>
      </c>
      <c r="M165" s="4"/>
    </row>
    <row r="166" spans="1:14" x14ac:dyDescent="0.25">
      <c r="A166" s="1"/>
      <c r="B166" s="12">
        <v>2023</v>
      </c>
      <c r="C166" s="3">
        <v>69099804000000</v>
      </c>
      <c r="D166" s="3">
        <v>70408946000000</v>
      </c>
      <c r="E166" s="3">
        <f>27502000000+3699546000000</f>
        <v>3727048000000</v>
      </c>
      <c r="F166" s="3">
        <f>28011000000+3689181000000</f>
        <v>3717192000000</v>
      </c>
      <c r="G166" s="3">
        <v>14293973000000</v>
      </c>
      <c r="H166" s="3">
        <v>41383259000000</v>
      </c>
      <c r="I166" s="3">
        <v>11642428000000</v>
      </c>
      <c r="J166" s="3">
        <v>9725621000000</v>
      </c>
      <c r="K166" s="3">
        <v>1233473000000</v>
      </c>
      <c r="L166" s="3">
        <v>740044000000</v>
      </c>
      <c r="M166" s="4"/>
    </row>
    <row r="167" spans="1:14" x14ac:dyDescent="0.25">
      <c r="A167" s="1" t="s">
        <v>32</v>
      </c>
      <c r="B167" s="12">
        <v>2021</v>
      </c>
      <c r="C167" s="3">
        <v>2697100062756</v>
      </c>
      <c r="D167" s="3">
        <v>2858166022131</v>
      </c>
      <c r="E167" s="3">
        <f>4607557705+358678151161</f>
        <v>363285708866</v>
      </c>
      <c r="F167" s="3">
        <f>2460755801+372090189588</f>
        <v>374550945389</v>
      </c>
      <c r="G167" s="3">
        <v>919831502753</v>
      </c>
      <c r="H167" s="3">
        <v>1688362494886</v>
      </c>
      <c r="I167" s="3">
        <v>1797514877242</v>
      </c>
      <c r="J167" s="3">
        <v>2227367211794</v>
      </c>
      <c r="K167" s="3">
        <v>188611979146</v>
      </c>
      <c r="L167" s="3">
        <v>245457033236</v>
      </c>
      <c r="M167" s="4"/>
      <c r="N167" s="51" t="s">
        <v>41</v>
      </c>
    </row>
    <row r="168" spans="1:14" x14ac:dyDescent="0.25">
      <c r="A168" s="1"/>
      <c r="B168" s="12">
        <v>2022</v>
      </c>
      <c r="C168" s="3">
        <v>2858166022131</v>
      </c>
      <c r="D168" s="3">
        <v>3435475875401</v>
      </c>
      <c r="E168" s="3">
        <f>2460755801+372090189588</f>
        <v>374550945389</v>
      </c>
      <c r="F168" s="3">
        <f>5109208867+476574302246</f>
        <v>481683511113</v>
      </c>
      <c r="G168" s="3">
        <v>1088481164598</v>
      </c>
      <c r="H168" s="3">
        <v>2224729775954</v>
      </c>
      <c r="I168" s="3">
        <v>2227367211794</v>
      </c>
      <c r="J168" s="3">
        <v>2808698656787</v>
      </c>
      <c r="K168" s="3">
        <v>312502049594</v>
      </c>
      <c r="L168" s="3">
        <v>228972246510</v>
      </c>
      <c r="M168" s="4"/>
      <c r="N168" s="51"/>
    </row>
    <row r="169" spans="1:14" x14ac:dyDescent="0.25">
      <c r="A169" s="1"/>
      <c r="B169" s="12">
        <v>2023</v>
      </c>
      <c r="C169" s="3">
        <v>3435475875401</v>
      </c>
      <c r="D169" s="3">
        <v>3597041437692</v>
      </c>
      <c r="E169" s="3">
        <f>5109208867+476574302246</f>
        <v>481683511113</v>
      </c>
      <c r="F169" s="3">
        <f>2906884820+514712223366</f>
        <v>517619108186</v>
      </c>
      <c r="G169" s="3">
        <v>1210090352380</v>
      </c>
      <c r="H169" s="3">
        <v>2487649831619</v>
      </c>
      <c r="I169" s="3">
        <v>2808698656787</v>
      </c>
      <c r="J169" s="3">
        <v>2860388195952</v>
      </c>
      <c r="K169" s="3">
        <v>440542975412</v>
      </c>
      <c r="L169" s="3">
        <v>579069868368</v>
      </c>
      <c r="M169" s="4"/>
      <c r="N169" s="51"/>
    </row>
    <row r="170" spans="1:14" x14ac:dyDescent="0.25">
      <c r="A170" s="1" t="s">
        <v>33</v>
      </c>
      <c r="B170" s="12">
        <v>2021</v>
      </c>
      <c r="C170" s="3">
        <v>341169168581</v>
      </c>
      <c r="D170" s="3">
        <v>340216666768</v>
      </c>
      <c r="E170" s="3">
        <f>7355212663+1120807303</f>
        <v>8476019966</v>
      </c>
      <c r="F170" s="3">
        <f>7074837866+86525521</f>
        <v>7161363387</v>
      </c>
      <c r="G170" s="3">
        <v>220103997686</v>
      </c>
      <c r="H170" s="3">
        <v>115058135268</v>
      </c>
      <c r="I170" s="3">
        <v>141832107191</v>
      </c>
      <c r="J170" s="3">
        <v>144616730115</v>
      </c>
      <c r="K170" s="3">
        <v>25160193681</v>
      </c>
      <c r="L170" s="3">
        <v>35859253111</v>
      </c>
      <c r="M170" s="4"/>
      <c r="N170" s="51" t="s">
        <v>41</v>
      </c>
    </row>
    <row r="171" spans="1:14" x14ac:dyDescent="0.25">
      <c r="A171" s="1"/>
      <c r="B171" s="12">
        <v>2022</v>
      </c>
      <c r="C171" s="3">
        <v>340216666768</v>
      </c>
      <c r="D171" s="3">
        <v>363417648503</v>
      </c>
      <c r="E171" s="3">
        <f>7074837866+86525521</f>
        <v>7161363387</v>
      </c>
      <c r="F171" s="3">
        <f>7810765092+765976514</f>
        <v>8576741606</v>
      </c>
      <c r="G171" s="3">
        <v>222651361278</v>
      </c>
      <c r="H171" s="3">
        <v>121750008979</v>
      </c>
      <c r="I171" s="3">
        <v>144616730115</v>
      </c>
      <c r="J171" s="3">
        <v>157646098806</v>
      </c>
      <c r="K171" s="3">
        <v>24044260651</v>
      </c>
      <c r="L171" s="3">
        <v>88112920926</v>
      </c>
      <c r="M171" s="4"/>
      <c r="N171" s="51"/>
    </row>
    <row r="172" spans="1:14" x14ac:dyDescent="0.25">
      <c r="A172" s="1"/>
      <c r="B172" s="12">
        <v>2023</v>
      </c>
      <c r="C172" s="3">
        <v>363417648503</v>
      </c>
      <c r="D172" s="3">
        <v>354412830081</v>
      </c>
      <c r="E172" s="3">
        <f>7810765092+765976514</f>
        <v>8576741606</v>
      </c>
      <c r="F172" s="3">
        <f>8606814649+2337328296</f>
        <v>10944142945</v>
      </c>
      <c r="G172" s="3">
        <v>200667068989</v>
      </c>
      <c r="H172" s="3">
        <v>129202288997</v>
      </c>
      <c r="I172" s="3">
        <v>157646098806</v>
      </c>
      <c r="J172" s="3">
        <v>170310659015</v>
      </c>
      <c r="K172" s="3">
        <v>28145515198</v>
      </c>
      <c r="L172" s="3">
        <v>84175310435</v>
      </c>
      <c r="M172" s="4"/>
      <c r="N172" s="51"/>
    </row>
    <row r="173" spans="1:14" x14ac:dyDescent="0.25">
      <c r="A173" s="1" t="s">
        <v>34</v>
      </c>
      <c r="B173" s="12">
        <v>2021</v>
      </c>
      <c r="C173" s="3">
        <v>3107410113178</v>
      </c>
      <c r="D173" s="3">
        <v>3236330922409</v>
      </c>
      <c r="E173" s="3">
        <f>392006740973+7066228799+4193385955+1958010086</f>
        <v>405224365813</v>
      </c>
      <c r="F173" s="3">
        <f>456363183437+7850355563+666569804+5247646037</f>
        <v>470127754841</v>
      </c>
      <c r="G173" s="3">
        <v>594728901512</v>
      </c>
      <c r="H173" s="3">
        <v>2127840895748</v>
      </c>
      <c r="I173" s="3">
        <v>1622319756389</v>
      </c>
      <c r="J173" s="3">
        <v>1831956807551</v>
      </c>
      <c r="K173" s="3">
        <v>156736391742</v>
      </c>
      <c r="L173" s="3">
        <v>113880999531</v>
      </c>
      <c r="M173" s="4"/>
      <c r="N173" s="51" t="s">
        <v>41</v>
      </c>
    </row>
    <row r="174" spans="1:14" x14ac:dyDescent="0.25">
      <c r="A174" s="1"/>
      <c r="B174" s="12">
        <v>2022</v>
      </c>
      <c r="C174" s="3">
        <v>3236330922409</v>
      </c>
      <c r="D174" s="3">
        <v>3304972191991</v>
      </c>
      <c r="E174" s="3">
        <f>456363183437+7850355563+666569804+5247646037</f>
        <v>470127754841</v>
      </c>
      <c r="F174" s="3">
        <f>467206368099+7059838013+95422143+1506177674</f>
        <v>475867805929</v>
      </c>
      <c r="G174" s="3">
        <v>720066028096</v>
      </c>
      <c r="H174" s="3">
        <v>2302761450906</v>
      </c>
      <c r="I174" s="3">
        <v>1831956807551</v>
      </c>
      <c r="J174" s="3">
        <v>2086058728390</v>
      </c>
      <c r="K174" s="3">
        <v>313410762339</v>
      </c>
      <c r="L174" s="3">
        <v>326550904577</v>
      </c>
      <c r="M174" s="4"/>
      <c r="N174" s="51"/>
    </row>
    <row r="175" spans="1:14" x14ac:dyDescent="0.25">
      <c r="A175" s="1"/>
      <c r="B175" s="12">
        <v>2023</v>
      </c>
      <c r="C175" s="3">
        <v>3304972191991</v>
      </c>
      <c r="D175" s="3">
        <v>3333890799976</v>
      </c>
      <c r="E175" s="3">
        <f>467206368099+7059838013+95422143+1506177674</f>
        <v>475867805929</v>
      </c>
      <c r="F175" s="3">
        <f>490320131058+3132066754+3563593901+3527467840</f>
        <v>500543259553</v>
      </c>
      <c r="G175" s="3">
        <v>701045403585</v>
      </c>
      <c r="H175" s="3">
        <v>2351397318568</v>
      </c>
      <c r="I175" s="3">
        <v>2086058728390</v>
      </c>
      <c r="J175" s="3">
        <v>2125542963624</v>
      </c>
      <c r="K175" s="3">
        <v>242417754641</v>
      </c>
      <c r="L175" s="3">
        <v>301068008538</v>
      </c>
      <c r="M175" s="4"/>
      <c r="N175" s="51"/>
    </row>
    <row r="176" spans="1:14" x14ac:dyDescent="0.25">
      <c r="A176" s="1" t="s">
        <v>35</v>
      </c>
      <c r="B176" s="12">
        <v>2021</v>
      </c>
      <c r="C176" s="3">
        <v>99800963000000</v>
      </c>
      <c r="D176" s="3">
        <v>112561356000000</v>
      </c>
      <c r="E176" s="3">
        <f>9691946000000+332271000000+846931000000+1134861000000</f>
        <v>12006009000000</v>
      </c>
      <c r="F176" s="3">
        <f>11639657000000+511896000000+904352000000+963549000000</f>
        <v>14019454000000</v>
      </c>
      <c r="G176" s="3">
        <v>20456694000000</v>
      </c>
      <c r="H176" s="3">
        <v>71822757000000</v>
      </c>
      <c r="I176" s="3">
        <v>60346784000000</v>
      </c>
      <c r="J176" s="3">
        <v>79460503000000</v>
      </c>
      <c r="K176" s="3">
        <v>10608267000000</v>
      </c>
      <c r="L176" s="3">
        <v>23284854000000</v>
      </c>
      <c r="M176" s="4"/>
    </row>
    <row r="177" spans="1:14" x14ac:dyDescent="0.25">
      <c r="A177" s="1"/>
      <c r="B177" s="12">
        <v>2022</v>
      </c>
      <c r="C177" s="3">
        <v>112561356000000</v>
      </c>
      <c r="D177" s="3">
        <v>140478220000000</v>
      </c>
      <c r="E177" s="3">
        <f>11639657000000+511896000000+904352000000+963549000000</f>
        <v>14019454000000</v>
      </c>
      <c r="F177" s="3">
        <f>17118329000000+515058000000+1042030000000+973304000000</f>
        <v>19648721000000</v>
      </c>
      <c r="G177" s="3">
        <v>23677857000000</v>
      </c>
      <c r="H177" s="3">
        <v>89513825000000</v>
      </c>
      <c r="I177" s="3">
        <v>79460503000000</v>
      </c>
      <c r="J177" s="3">
        <v>123607460000000</v>
      </c>
      <c r="K177" s="3">
        <v>22993673000000</v>
      </c>
      <c r="L177" s="3">
        <v>32891585000000</v>
      </c>
      <c r="M177" s="4"/>
    </row>
    <row r="178" spans="1:14" x14ac:dyDescent="0.25">
      <c r="A178" s="1"/>
      <c r="B178" s="12">
        <v>2023</v>
      </c>
      <c r="C178" s="3">
        <v>140478220000000</v>
      </c>
      <c r="D178" s="3">
        <v>154028248000000</v>
      </c>
      <c r="E178" s="3">
        <f>17118329000000+515058000000+1042030000000+973304000000</f>
        <v>19648721000000</v>
      </c>
      <c r="F178" s="3">
        <f>18953089000000+1321493000000+833144000000+1207575000000</f>
        <v>22315301000000</v>
      </c>
      <c r="G178" s="3">
        <v>36001559000000</v>
      </c>
      <c r="H178" s="3">
        <v>84035563000000</v>
      </c>
      <c r="I178" s="3">
        <v>123607460000000</v>
      </c>
      <c r="J178" s="3">
        <v>128583264000000</v>
      </c>
      <c r="K178" s="3">
        <v>22130096000000</v>
      </c>
      <c r="L178" s="3">
        <v>26346848000000</v>
      </c>
      <c r="M178" s="4"/>
    </row>
    <row r="179" spans="1:14" x14ac:dyDescent="0.25">
      <c r="A179" s="1" t="s">
        <v>36</v>
      </c>
      <c r="B179" s="12">
        <v>2021</v>
      </c>
      <c r="C179" s="3">
        <v>3035584618693</v>
      </c>
      <c r="D179" s="3">
        <v>3143458650849</v>
      </c>
      <c r="E179" s="3">
        <f>450193757199+6116600+5327978198+151308419</f>
        <v>455679160416</v>
      </c>
      <c r="F179" s="3">
        <f>469397841980+88800375+852871814+173760398</f>
        <v>470513274567</v>
      </c>
      <c r="G179" s="3">
        <v>1030101381857</v>
      </c>
      <c r="H179" s="3">
        <v>2052866903362</v>
      </c>
      <c r="I179" s="3">
        <v>1910989899637</v>
      </c>
      <c r="J179" s="3">
        <v>2238536055114</v>
      </c>
      <c r="K179" s="3">
        <v>223780364408</v>
      </c>
      <c r="L179" s="3">
        <v>404626899810</v>
      </c>
      <c r="M179" s="4"/>
      <c r="N179" s="50" t="s">
        <v>41</v>
      </c>
    </row>
    <row r="180" spans="1:14" x14ac:dyDescent="0.25">
      <c r="A180" s="1"/>
      <c r="B180" s="12">
        <v>2022</v>
      </c>
      <c r="C180" s="3">
        <v>3143458650849</v>
      </c>
      <c r="D180" s="3">
        <v>3116150805162</v>
      </c>
      <c r="E180" s="3">
        <f>469397841980+88800375+852871814+173760398</f>
        <v>470513274567</v>
      </c>
      <c r="F180" s="3">
        <f>480373876645+59498853+2583100389+181094876</f>
        <v>483197570763</v>
      </c>
      <c r="G180" s="3">
        <v>971191938365</v>
      </c>
      <c r="H180" s="3">
        <v>2107640326367</v>
      </c>
      <c r="I180" s="3">
        <v>2238536055114</v>
      </c>
      <c r="J180" s="3">
        <v>2505644878372</v>
      </c>
      <c r="K180" s="3">
        <v>225044549724</v>
      </c>
      <c r="L180" s="3">
        <v>184995491620</v>
      </c>
      <c r="M180" s="4"/>
      <c r="N180" s="50"/>
    </row>
    <row r="181" spans="1:14" x14ac:dyDescent="0.25">
      <c r="A181" s="1"/>
      <c r="B181" s="12">
        <v>2023</v>
      </c>
      <c r="C181" s="3">
        <v>3116150805162</v>
      </c>
      <c r="D181" s="3">
        <v>3237655784669</v>
      </c>
      <c r="E181" s="3">
        <f>480373876645+59498853+2583100389+181094876</f>
        <v>483197570763</v>
      </c>
      <c r="F181" s="3">
        <f>526305284331+511667269+3138250827+181359058</f>
        <v>530136561485</v>
      </c>
      <c r="G181" s="3">
        <v>981333319882</v>
      </c>
      <c r="H181" s="3">
        <v>2229593055850</v>
      </c>
      <c r="I181" s="3">
        <v>2505644878372</v>
      </c>
      <c r="J181" s="3">
        <v>2605488939158</v>
      </c>
      <c r="K181" s="3">
        <v>274951561683</v>
      </c>
      <c r="L181" s="3">
        <v>243478306312</v>
      </c>
      <c r="M181" s="4"/>
      <c r="N181" s="50"/>
    </row>
    <row r="182" spans="1:14" x14ac:dyDescent="0.25">
      <c r="A182" s="1" t="s">
        <v>37</v>
      </c>
      <c r="B182" s="12">
        <v>2021</v>
      </c>
      <c r="C182" s="3">
        <v>451600083080</v>
      </c>
      <c r="D182" s="3">
        <v>463343986900</v>
      </c>
      <c r="E182" s="3">
        <v>54152816187</v>
      </c>
      <c r="F182" s="3">
        <v>57120964606</v>
      </c>
      <c r="G182" s="3">
        <v>85885157663</v>
      </c>
      <c r="H182" s="3">
        <v>94988278804</v>
      </c>
      <c r="I182" s="3">
        <v>82949660203</v>
      </c>
      <c r="J182" s="3">
        <v>72426729694</v>
      </c>
      <c r="K182" s="3">
        <v>3442039458</v>
      </c>
      <c r="L182" s="3">
        <v>1368874924</v>
      </c>
      <c r="M182" s="4"/>
      <c r="N182" s="50" t="s">
        <v>41</v>
      </c>
    </row>
    <row r="183" spans="1:14" x14ac:dyDescent="0.25">
      <c r="A183" s="1"/>
      <c r="B183" s="12">
        <v>2022</v>
      </c>
      <c r="C183" s="3">
        <v>463343986900</v>
      </c>
      <c r="D183" s="14">
        <v>480584345100</v>
      </c>
      <c r="E183" s="3">
        <v>57120964606</v>
      </c>
      <c r="F183" s="14">
        <v>82513535353</v>
      </c>
      <c r="G183" s="14">
        <v>72091230280</v>
      </c>
      <c r="H183" s="14">
        <v>101089427041</v>
      </c>
      <c r="I183" s="3">
        <v>72426729694</v>
      </c>
      <c r="J183" s="14">
        <v>213082547296</v>
      </c>
      <c r="K183" s="14">
        <v>6110063988</v>
      </c>
      <c r="L183" s="14">
        <v>-9982045394</v>
      </c>
      <c r="M183" s="4"/>
      <c r="N183" s="50"/>
    </row>
    <row r="184" spans="1:14" x14ac:dyDescent="0.25">
      <c r="A184" s="1"/>
      <c r="B184" s="12">
        <v>2023</v>
      </c>
      <c r="C184" s="3">
        <v>480584345100</v>
      </c>
      <c r="D184" s="3">
        <v>452886922243</v>
      </c>
      <c r="E184" s="3">
        <v>82513535353</v>
      </c>
      <c r="F184" s="3">
        <v>79582172489</v>
      </c>
      <c r="G184" s="3">
        <v>56704060399</v>
      </c>
      <c r="H184" s="3">
        <v>111239857483</v>
      </c>
      <c r="I184" s="3">
        <v>213082547296</v>
      </c>
      <c r="J184" s="3">
        <v>183089195342</v>
      </c>
      <c r="K184" s="3">
        <v>10159997069</v>
      </c>
      <c r="L184" s="3">
        <v>732934590</v>
      </c>
      <c r="M184" s="4"/>
      <c r="N184" s="50"/>
    </row>
    <row r="185" spans="1:14" x14ac:dyDescent="0.25">
      <c r="D185" s="4"/>
      <c r="E185" s="4"/>
      <c r="F185" s="4"/>
      <c r="G185" s="4"/>
      <c r="H185" s="4"/>
      <c r="I185" s="4"/>
      <c r="J185" s="4"/>
      <c r="K185" s="4"/>
      <c r="L185" s="4"/>
      <c r="M185" s="4"/>
    </row>
  </sheetData>
  <mergeCells count="21">
    <mergeCell ref="N179:N181"/>
    <mergeCell ref="N182:N184"/>
    <mergeCell ref="N59:N61"/>
    <mergeCell ref="N92:N94"/>
    <mergeCell ref="N95:N97"/>
    <mergeCell ref="N167:N169"/>
    <mergeCell ref="N170:N172"/>
    <mergeCell ref="N161:N163"/>
    <mergeCell ref="N101:N103"/>
    <mergeCell ref="N149:N151"/>
    <mergeCell ref="N155:N157"/>
    <mergeCell ref="N83:N85"/>
    <mergeCell ref="N89:N91"/>
    <mergeCell ref="N173:N175"/>
    <mergeCell ref="N116:N118"/>
    <mergeCell ref="N119:N121"/>
    <mergeCell ref="N122:N124"/>
    <mergeCell ref="N125:N127"/>
    <mergeCell ref="N131:N133"/>
    <mergeCell ref="N137:N139"/>
    <mergeCell ref="N140:N14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9C29B-9F2A-453D-8114-4B596F672219}">
  <dimension ref="A1:H184"/>
  <sheetViews>
    <sheetView tabSelected="1" workbookViewId="0">
      <selection activeCell="J3" sqref="J3"/>
    </sheetView>
  </sheetViews>
  <sheetFormatPr defaultRowHeight="15" x14ac:dyDescent="0.25"/>
  <cols>
    <col min="6" max="6" width="12.5703125" customWidth="1"/>
    <col min="7" max="7" width="15.28515625" customWidth="1"/>
    <col min="8" max="8" width="16" customWidth="1"/>
  </cols>
  <sheetData>
    <row r="1" spans="1:8" x14ac:dyDescent="0.25">
      <c r="A1" s="49" t="s">
        <v>112</v>
      </c>
      <c r="B1" s="49" t="s">
        <v>113</v>
      </c>
      <c r="C1" s="49" t="s">
        <v>114</v>
      </c>
      <c r="D1" s="49" t="s">
        <v>115</v>
      </c>
      <c r="E1" s="49" t="s">
        <v>116</v>
      </c>
      <c r="F1" s="55" t="s">
        <v>117</v>
      </c>
      <c r="G1" s="55" t="s">
        <v>118</v>
      </c>
      <c r="H1" s="55" t="s">
        <v>119</v>
      </c>
    </row>
    <row r="2" spans="1:8" x14ac:dyDescent="0.25">
      <c r="A2" s="15">
        <v>5.2239864853268932E-3</v>
      </c>
      <c r="B2" s="15">
        <v>0.5</v>
      </c>
      <c r="C2" s="15">
        <v>-0.13000225530835316</v>
      </c>
      <c r="D2" s="15">
        <v>18.221583397198142</v>
      </c>
      <c r="E2" s="15">
        <v>0.46153846153846156</v>
      </c>
      <c r="F2">
        <f>A2*E2</f>
        <v>2.4110706855354895E-3</v>
      </c>
      <c r="G2">
        <f>B2*E2</f>
        <v>0.23076923076923078</v>
      </c>
      <c r="H2">
        <f>C2*E2</f>
        <v>-6.0001040911547614E-2</v>
      </c>
    </row>
    <row r="3" spans="1:8" x14ac:dyDescent="0.25">
      <c r="A3" s="15">
        <v>2.5633555346282829E-3</v>
      </c>
      <c r="B3" s="15">
        <v>0.5</v>
      </c>
      <c r="C3" s="15">
        <v>-0.26310941070572291</v>
      </c>
      <c r="D3" s="15">
        <v>24.082134519623175</v>
      </c>
      <c r="E3" s="15">
        <v>0.46153846153846156</v>
      </c>
      <c r="F3">
        <f t="shared" ref="F3:F66" si="0">A3*E3</f>
        <v>1.1830871698284384E-3</v>
      </c>
      <c r="G3">
        <f t="shared" ref="G3:G66" si="1">B3*E3</f>
        <v>0.23076923076923078</v>
      </c>
      <c r="H3">
        <f t="shared" ref="H3:H66" si="2">C3*E3</f>
        <v>-0.12143511263341059</v>
      </c>
    </row>
    <row r="4" spans="1:8" x14ac:dyDescent="0.25">
      <c r="A4" s="15">
        <v>5.5517150820273264E-3</v>
      </c>
      <c r="B4" s="15">
        <v>0.5</v>
      </c>
      <c r="C4" s="15">
        <v>0.2552839435355102</v>
      </c>
      <c r="D4" s="15">
        <v>11.261393184134482</v>
      </c>
      <c r="E4" s="15">
        <v>0.46153846153846156</v>
      </c>
      <c r="F4">
        <f t="shared" si="0"/>
        <v>2.5623300378587663E-3</v>
      </c>
      <c r="G4">
        <f t="shared" si="1"/>
        <v>0.23076923076923078</v>
      </c>
      <c r="H4">
        <f t="shared" si="2"/>
        <v>0.11782335855485088</v>
      </c>
    </row>
    <row r="5" spans="1:8" x14ac:dyDescent="0.25">
      <c r="A5" s="15">
        <v>7.0926693555738917E-3</v>
      </c>
      <c r="B5" s="15">
        <v>0.5</v>
      </c>
      <c r="C5" s="15">
        <v>7.1387292358843446E-2</v>
      </c>
      <c r="D5" s="15">
        <v>13.199671025200937</v>
      </c>
      <c r="E5" s="15">
        <v>0.63247863247863245</v>
      </c>
      <c r="F5">
        <f t="shared" si="0"/>
        <v>4.4859618146364782E-3</v>
      </c>
      <c r="G5">
        <f t="shared" si="1"/>
        <v>0.31623931623931623</v>
      </c>
      <c r="H5">
        <f t="shared" si="2"/>
        <v>4.5150937047473631E-2</v>
      </c>
    </row>
    <row r="6" spans="1:8" x14ac:dyDescent="0.25">
      <c r="A6" s="15">
        <v>6.5726031515171493E-3</v>
      </c>
      <c r="B6" s="15">
        <v>0.5</v>
      </c>
      <c r="C6" s="15">
        <v>1.8973296535921939E-2</v>
      </c>
      <c r="D6" s="15">
        <v>14.285527257981364</v>
      </c>
      <c r="E6" s="15">
        <v>0.63247863247863245</v>
      </c>
      <c r="F6">
        <f t="shared" si="0"/>
        <v>4.1570310530963167E-3</v>
      </c>
      <c r="G6">
        <f t="shared" si="1"/>
        <v>0.31623931623931623</v>
      </c>
      <c r="H6">
        <f t="shared" si="2"/>
        <v>1.2000204646651483E-2</v>
      </c>
    </row>
    <row r="7" spans="1:8" x14ac:dyDescent="0.25">
      <c r="A7" s="15">
        <v>4.5290916380641691E-3</v>
      </c>
      <c r="B7" s="15">
        <v>0.5</v>
      </c>
      <c r="C7" s="15">
        <v>0.27198034147916661</v>
      </c>
      <c r="D7" s="15">
        <v>11.545137541510938</v>
      </c>
      <c r="E7" s="15">
        <v>0.63247863247863245</v>
      </c>
      <c r="F7">
        <f t="shared" si="0"/>
        <v>2.8645536856132352E-3</v>
      </c>
      <c r="G7">
        <f t="shared" si="1"/>
        <v>0.31623931623931623</v>
      </c>
      <c r="H7">
        <f t="shared" si="2"/>
        <v>0.17202175443981477</v>
      </c>
    </row>
    <row r="8" spans="1:8" x14ac:dyDescent="0.25">
      <c r="A8" s="15">
        <v>7.1686645760482299E-3</v>
      </c>
      <c r="B8" s="15">
        <v>0.33333333333333331</v>
      </c>
      <c r="C8" s="15">
        <v>5.4806571996083187E-2</v>
      </c>
      <c r="D8" s="15">
        <v>12.853712917689316</v>
      </c>
      <c r="E8" s="15">
        <v>0.67521367521367526</v>
      </c>
      <c r="F8">
        <f t="shared" si="0"/>
        <v>4.8403803547676085E-3</v>
      </c>
      <c r="G8">
        <f t="shared" si="1"/>
        <v>0.22507122507122507</v>
      </c>
      <c r="H8">
        <f t="shared" si="2"/>
        <v>3.700614690333822E-2</v>
      </c>
    </row>
    <row r="9" spans="1:8" x14ac:dyDescent="0.25">
      <c r="A9" s="15">
        <v>6.3989053783775236E-3</v>
      </c>
      <c r="B9" s="15">
        <v>0.33333333333333331</v>
      </c>
      <c r="C9" s="15">
        <v>8.3535093385385825E-2</v>
      </c>
      <c r="D9" s="15">
        <v>11.846897470588779</v>
      </c>
      <c r="E9" s="15">
        <v>0.67521367521367526</v>
      </c>
      <c r="F9">
        <f t="shared" si="0"/>
        <v>4.3206284178788409E-3</v>
      </c>
      <c r="G9">
        <f t="shared" si="1"/>
        <v>0.22507122507122507</v>
      </c>
      <c r="H9">
        <f t="shared" si="2"/>
        <v>5.640403741406394E-2</v>
      </c>
    </row>
    <row r="10" spans="1:8" x14ac:dyDescent="0.25">
      <c r="A10" s="15">
        <v>1.5473981422321708E-2</v>
      </c>
      <c r="B10" s="15">
        <v>0.33333333333333331</v>
      </c>
      <c r="C10" s="15">
        <v>-7.0569806674654151E-2</v>
      </c>
      <c r="D10" s="15">
        <v>6.2327226871832346</v>
      </c>
      <c r="E10" s="15">
        <v>0.67521367521367526</v>
      </c>
      <c r="F10">
        <f t="shared" si="0"/>
        <v>1.0448243866353974E-2</v>
      </c>
      <c r="G10">
        <f t="shared" si="1"/>
        <v>0.22507122507122507</v>
      </c>
      <c r="H10">
        <f t="shared" si="2"/>
        <v>-4.7649698523911779E-2</v>
      </c>
    </row>
    <row r="11" spans="1:8" x14ac:dyDescent="0.25">
      <c r="A11" s="15">
        <v>0.14135452357735215</v>
      </c>
      <c r="B11" s="15">
        <v>0.42857142857142855</v>
      </c>
      <c r="C11" s="15">
        <v>0.10037593707468438</v>
      </c>
      <c r="D11" s="15">
        <v>6.8430065770297759</v>
      </c>
      <c r="E11" s="15">
        <v>0.75213675213675213</v>
      </c>
      <c r="F11">
        <f t="shared" si="0"/>
        <v>0.1063179322633076</v>
      </c>
      <c r="G11">
        <f t="shared" si="1"/>
        <v>0.32234432234432231</v>
      </c>
      <c r="H11">
        <f t="shared" si="2"/>
        <v>7.5496431304036118E-2</v>
      </c>
    </row>
    <row r="12" spans="1:8" x14ac:dyDescent="0.25">
      <c r="A12" s="15">
        <v>0.13983513113631207</v>
      </c>
      <c r="B12" s="15">
        <v>0.42857142857142855</v>
      </c>
      <c r="C12" s="15">
        <v>0.11156700739826447</v>
      </c>
      <c r="D12" s="15">
        <v>7.1672834641365659</v>
      </c>
      <c r="E12" s="15">
        <v>0.75213675213675213</v>
      </c>
      <c r="F12">
        <f t="shared" si="0"/>
        <v>0.10517514136748259</v>
      </c>
      <c r="G12">
        <f t="shared" si="1"/>
        <v>0.32234432234432231</v>
      </c>
      <c r="H12">
        <f t="shared" si="2"/>
        <v>8.3913646590147634E-2</v>
      </c>
    </row>
    <row r="13" spans="1:8" x14ac:dyDescent="0.25">
      <c r="A13" s="15">
        <v>0.10848981626096132</v>
      </c>
      <c r="B13" s="15">
        <v>0.42857142857142855</v>
      </c>
      <c r="C13" s="15">
        <v>0.11808703704546114</v>
      </c>
      <c r="D13" s="15">
        <v>6.5777043873543839</v>
      </c>
      <c r="E13" s="15">
        <v>0.75213675213675213</v>
      </c>
      <c r="F13">
        <f t="shared" si="0"/>
        <v>8.1599178042432455E-2</v>
      </c>
      <c r="G13">
        <f t="shared" si="1"/>
        <v>0.32234432234432231</v>
      </c>
      <c r="H13">
        <f t="shared" si="2"/>
        <v>8.8817600512825473E-2</v>
      </c>
    </row>
    <row r="14" spans="1:8" x14ac:dyDescent="0.25">
      <c r="A14" s="15">
        <v>7.7564750103382085E-4</v>
      </c>
      <c r="B14" s="15">
        <v>0.5</v>
      </c>
      <c r="C14" s="15">
        <v>0.13177184789396906</v>
      </c>
      <c r="D14" s="15">
        <v>6.8485127207135319</v>
      </c>
      <c r="E14" s="15">
        <v>0.74358974358974361</v>
      </c>
      <c r="F14">
        <f t="shared" si="0"/>
        <v>5.7676352640976419E-4</v>
      </c>
      <c r="G14">
        <f t="shared" si="1"/>
        <v>0.37179487179487181</v>
      </c>
      <c r="H14">
        <f t="shared" si="2"/>
        <v>9.7984194587823148E-2</v>
      </c>
    </row>
    <row r="15" spans="1:8" x14ac:dyDescent="0.25">
      <c r="A15" s="15">
        <v>1.8752129318716098E-3</v>
      </c>
      <c r="B15" s="15">
        <v>0.6</v>
      </c>
      <c r="C15" s="15">
        <v>0.11105135739929567</v>
      </c>
      <c r="D15" s="15">
        <v>4.1297846280231347</v>
      </c>
      <c r="E15" s="15">
        <v>0.74358974358974361</v>
      </c>
      <c r="F15">
        <f t="shared" si="0"/>
        <v>1.3943891031865817E-3</v>
      </c>
      <c r="G15">
        <f t="shared" si="1"/>
        <v>0.44615384615384618</v>
      </c>
      <c r="H15">
        <f t="shared" si="2"/>
        <v>8.2576650373835242E-2</v>
      </c>
    </row>
    <row r="16" spans="1:8" x14ac:dyDescent="0.25">
      <c r="A16" s="15">
        <v>8.1278924786019327E-4</v>
      </c>
      <c r="B16" s="15">
        <v>0.75</v>
      </c>
      <c r="C16" s="15">
        <v>0.11793437151924369</v>
      </c>
      <c r="D16" s="15">
        <v>6.2478329612675232</v>
      </c>
      <c r="E16" s="15">
        <v>0.74358974358974361</v>
      </c>
      <c r="F16">
        <f t="shared" si="0"/>
        <v>6.0438174840886166E-4</v>
      </c>
      <c r="G16">
        <f t="shared" si="1"/>
        <v>0.55769230769230771</v>
      </c>
      <c r="H16">
        <f t="shared" si="2"/>
        <v>8.769478907841198E-2</v>
      </c>
    </row>
    <row r="17" spans="1:8" x14ac:dyDescent="0.25">
      <c r="A17" s="15">
        <v>1.1196080227127026E-2</v>
      </c>
      <c r="B17" s="15">
        <v>0.66666666666666663</v>
      </c>
      <c r="C17" s="15">
        <v>1.6317168576208168E-2</v>
      </c>
      <c r="D17" s="15">
        <v>4.9168967384460593</v>
      </c>
      <c r="E17" s="15">
        <v>0.76068376068376065</v>
      </c>
      <c r="F17">
        <f t="shared" si="0"/>
        <v>8.5166764120880797E-3</v>
      </c>
      <c r="G17">
        <f t="shared" si="1"/>
        <v>0.50712250712250706</v>
      </c>
      <c r="H17">
        <f t="shared" si="2"/>
        <v>1.2412205156260913E-2</v>
      </c>
    </row>
    <row r="18" spans="1:8" x14ac:dyDescent="0.25">
      <c r="A18" s="15">
        <v>1.0188501967232368E-2</v>
      </c>
      <c r="B18" s="15">
        <v>0.66666666666666663</v>
      </c>
      <c r="C18" s="15">
        <v>3.671976750673233E-2</v>
      </c>
      <c r="D18" s="15">
        <v>5.5886483718208595</v>
      </c>
      <c r="E18" s="15">
        <v>0.76068376068376065</v>
      </c>
      <c r="F18">
        <f t="shared" si="0"/>
        <v>7.7502279921682115E-3</v>
      </c>
      <c r="G18">
        <f t="shared" si="1"/>
        <v>0.50712250712250706</v>
      </c>
      <c r="H18">
        <f t="shared" si="2"/>
        <v>2.7932130838454507E-2</v>
      </c>
    </row>
    <row r="19" spans="1:8" x14ac:dyDescent="0.25">
      <c r="A19" s="15">
        <v>1.7916330735465377E-2</v>
      </c>
      <c r="B19" s="15">
        <v>0.66666666666666663</v>
      </c>
      <c r="C19" s="15">
        <v>2.8783786684203297E-2</v>
      </c>
      <c r="D19" s="15">
        <v>2.9749277787845516</v>
      </c>
      <c r="E19" s="15">
        <v>0.76068376068376065</v>
      </c>
      <c r="F19">
        <f t="shared" si="0"/>
        <v>1.362866184150785E-2</v>
      </c>
      <c r="G19">
        <f t="shared" si="1"/>
        <v>0.50712250712250706</v>
      </c>
      <c r="H19">
        <f t="shared" si="2"/>
        <v>2.1895359101658917E-2</v>
      </c>
    </row>
    <row r="20" spans="1:8" x14ac:dyDescent="0.25">
      <c r="A20" s="15">
        <v>0.15372793123676839</v>
      </c>
      <c r="B20" s="15">
        <v>0.5</v>
      </c>
      <c r="C20" s="15">
        <v>0.15049542294359983</v>
      </c>
      <c r="D20" s="15">
        <v>0.88593135836109382</v>
      </c>
      <c r="E20" s="15">
        <v>0.59829059829059827</v>
      </c>
      <c r="F20">
        <f t="shared" si="0"/>
        <v>9.1973975953622111E-2</v>
      </c>
      <c r="G20">
        <f t="shared" si="1"/>
        <v>0.29914529914529914</v>
      </c>
      <c r="H20">
        <f t="shared" si="2"/>
        <v>9.0039996632922975E-2</v>
      </c>
    </row>
    <row r="21" spans="1:8" x14ac:dyDescent="0.25">
      <c r="A21" s="15">
        <v>9.6806963613837269E-2</v>
      </c>
      <c r="B21" s="15">
        <v>0.33333333333333331</v>
      </c>
      <c r="C21" s="15">
        <v>0.13433557415022265</v>
      </c>
      <c r="D21" s="15">
        <v>1.8196769650320985</v>
      </c>
      <c r="E21" s="15">
        <v>0.59829059829059827</v>
      </c>
      <c r="F21">
        <f t="shared" si="0"/>
        <v>5.7918696179218875E-2</v>
      </c>
      <c r="G21">
        <f t="shared" si="1"/>
        <v>0.19943019943019941</v>
      </c>
      <c r="H21">
        <f t="shared" si="2"/>
        <v>8.0371711030047741E-2</v>
      </c>
    </row>
    <row r="22" spans="1:8" x14ac:dyDescent="0.25">
      <c r="A22" s="15">
        <v>9.9858105251676765E-2</v>
      </c>
      <c r="B22" s="15">
        <v>0.5</v>
      </c>
      <c r="C22" s="15">
        <v>0.16691105004800824</v>
      </c>
      <c r="D22" s="15">
        <v>2.5031757793770404</v>
      </c>
      <c r="E22" s="15">
        <v>0.59829059829059827</v>
      </c>
      <c r="F22">
        <f t="shared" si="0"/>
        <v>5.9744165535191227E-2</v>
      </c>
      <c r="G22">
        <f t="shared" si="1"/>
        <v>0.29914529914529914</v>
      </c>
      <c r="H22">
        <f t="shared" si="2"/>
        <v>9.9861311994534838E-2</v>
      </c>
    </row>
    <row r="23" spans="1:8" x14ac:dyDescent="0.25">
      <c r="A23" s="15">
        <v>4.882637268975417E-3</v>
      </c>
      <c r="B23" s="15">
        <v>0.25</v>
      </c>
      <c r="C23" s="15">
        <v>0.14704207935866354</v>
      </c>
      <c r="D23" s="15">
        <v>3.3192649786843562</v>
      </c>
      <c r="E23" s="15">
        <v>0.76923076923076927</v>
      </c>
      <c r="F23">
        <f t="shared" si="0"/>
        <v>3.7558748222887824E-3</v>
      </c>
      <c r="G23">
        <f t="shared" si="1"/>
        <v>0.19230769230769232</v>
      </c>
      <c r="H23">
        <f t="shared" si="2"/>
        <v>0.11310929181435657</v>
      </c>
    </row>
    <row r="24" spans="1:8" x14ac:dyDescent="0.25">
      <c r="A24" s="15">
        <v>6.1040706513709438E-3</v>
      </c>
      <c r="B24" s="15">
        <v>0.25</v>
      </c>
      <c r="C24" s="15">
        <v>6.4067905143458462E-2</v>
      </c>
      <c r="D24" s="15">
        <v>3.9257927704035502</v>
      </c>
      <c r="E24" s="15">
        <v>0.76923076923076927</v>
      </c>
      <c r="F24">
        <f t="shared" si="0"/>
        <v>4.6954389625930336E-3</v>
      </c>
      <c r="G24">
        <f t="shared" si="1"/>
        <v>0.19230769230769232</v>
      </c>
      <c r="H24">
        <f t="shared" si="2"/>
        <v>4.9283003956506512E-2</v>
      </c>
    </row>
    <row r="25" spans="1:8" x14ac:dyDescent="0.25">
      <c r="A25" s="15">
        <v>7.9685238278870384E-3</v>
      </c>
      <c r="B25" s="15">
        <v>0.33333333333333331</v>
      </c>
      <c r="C25" s="15">
        <v>0.18392564509874096</v>
      </c>
      <c r="D25" s="15">
        <v>4.0287094831888641</v>
      </c>
      <c r="E25" s="15">
        <v>0.76923076923076927</v>
      </c>
      <c r="F25">
        <f t="shared" si="0"/>
        <v>6.1296337137592607E-3</v>
      </c>
      <c r="G25">
        <f t="shared" si="1"/>
        <v>0.25641025641025639</v>
      </c>
      <c r="H25">
        <f t="shared" si="2"/>
        <v>0.14148126546056997</v>
      </c>
    </row>
    <row r="26" spans="1:8" x14ac:dyDescent="0.25">
      <c r="A26" s="15">
        <v>2.3969930607641285E-2</v>
      </c>
      <c r="B26" s="15">
        <v>0.2857142857142857</v>
      </c>
      <c r="C26" s="15">
        <v>0.1291207247845427</v>
      </c>
      <c r="D26" s="15">
        <v>2.5893739852103179</v>
      </c>
      <c r="E26" s="15">
        <v>0.68376068376068377</v>
      </c>
      <c r="F26">
        <f t="shared" si="0"/>
        <v>1.6389696141976946E-2</v>
      </c>
      <c r="G26">
        <f t="shared" si="1"/>
        <v>0.19536019536019536</v>
      </c>
      <c r="H26">
        <f t="shared" si="2"/>
        <v>8.8287675066353988E-2</v>
      </c>
    </row>
    <row r="27" spans="1:8" x14ac:dyDescent="0.25">
      <c r="A27" s="15">
        <v>2.2688322076537672E-2</v>
      </c>
      <c r="B27" s="15">
        <v>0.2857142857142857</v>
      </c>
      <c r="C27" s="15">
        <v>0.14032835586463219</v>
      </c>
      <c r="D27" s="15">
        <v>3.0123946944462832</v>
      </c>
      <c r="E27" s="15">
        <v>0.68376068376068377</v>
      </c>
      <c r="F27">
        <f t="shared" si="0"/>
        <v>1.5513382616436016E-2</v>
      </c>
      <c r="G27">
        <f t="shared" si="1"/>
        <v>0.19536019536019536</v>
      </c>
      <c r="H27">
        <f t="shared" si="2"/>
        <v>9.5951012557013465E-2</v>
      </c>
    </row>
    <row r="28" spans="1:8" x14ac:dyDescent="0.25">
      <c r="A28" s="15">
        <v>3.1102966064224576E-2</v>
      </c>
      <c r="B28" s="15">
        <v>0.2857142857142857</v>
      </c>
      <c r="C28" s="15">
        <v>0.12980455970763219</v>
      </c>
      <c r="D28" s="15">
        <v>2.8056540675751434</v>
      </c>
      <c r="E28" s="15">
        <v>0.68376068376068377</v>
      </c>
      <c r="F28">
        <f t="shared" si="0"/>
        <v>2.1266985343059541E-2</v>
      </c>
      <c r="G28">
        <f t="shared" si="1"/>
        <v>0.19536019536019536</v>
      </c>
      <c r="H28">
        <f t="shared" si="2"/>
        <v>8.8755254500945083E-2</v>
      </c>
    </row>
    <row r="29" spans="1:8" x14ac:dyDescent="0.25">
      <c r="A29" s="15">
        <v>1.0885904708419348E-3</v>
      </c>
      <c r="B29" s="15">
        <v>0.75</v>
      </c>
      <c r="C29" s="15">
        <v>-8.6494263984016689E-2</v>
      </c>
      <c r="D29" s="15">
        <v>10.717739631437615</v>
      </c>
      <c r="E29" s="15">
        <v>0.6495726495726496</v>
      </c>
      <c r="F29">
        <f t="shared" si="0"/>
        <v>7.0711859644433377E-4</v>
      </c>
      <c r="G29">
        <f t="shared" si="1"/>
        <v>0.48717948717948723</v>
      </c>
      <c r="H29">
        <f t="shared" si="2"/>
        <v>-5.6184308228933923E-2</v>
      </c>
    </row>
    <row r="30" spans="1:8" x14ac:dyDescent="0.25">
      <c r="A30" s="15">
        <v>1.699597802095466E-3</v>
      </c>
      <c r="B30" s="15">
        <v>0.75</v>
      </c>
      <c r="C30" s="15">
        <v>-7.2362711972383809E-2</v>
      </c>
      <c r="D30" s="15">
        <v>10.377101775375971</v>
      </c>
      <c r="E30" s="15">
        <v>0.6495726495726496</v>
      </c>
      <c r="F30">
        <f t="shared" si="0"/>
        <v>1.1040122475150036E-3</v>
      </c>
      <c r="G30">
        <f t="shared" si="1"/>
        <v>0.48717948717948723</v>
      </c>
      <c r="H30">
        <f t="shared" si="2"/>
        <v>-4.7004838546163843E-2</v>
      </c>
    </row>
    <row r="31" spans="1:8" x14ac:dyDescent="0.25">
      <c r="A31" s="15">
        <v>3.878912076574727E-3</v>
      </c>
      <c r="B31" s="15">
        <v>0.75</v>
      </c>
      <c r="C31" s="15">
        <v>3.1397351083297997E-2</v>
      </c>
      <c r="D31" s="15">
        <v>5.4074616105347602</v>
      </c>
      <c r="E31" s="15">
        <v>0.6495726495726496</v>
      </c>
      <c r="F31">
        <f t="shared" si="0"/>
        <v>2.5196351950399938E-3</v>
      </c>
      <c r="G31">
        <f t="shared" si="1"/>
        <v>0.48717948717948723</v>
      </c>
      <c r="H31">
        <f t="shared" si="2"/>
        <v>2.0394860532740582E-2</v>
      </c>
    </row>
    <row r="32" spans="1:8" x14ac:dyDescent="0.25">
      <c r="A32" s="15">
        <v>1.0377468628906494E-2</v>
      </c>
      <c r="B32" s="15">
        <v>0.25</v>
      </c>
      <c r="C32" s="15">
        <v>0.11856216736633515</v>
      </c>
      <c r="D32" s="15">
        <v>0.89660180065357609</v>
      </c>
      <c r="E32" s="15">
        <v>0.62393162393162394</v>
      </c>
      <c r="F32">
        <f t="shared" si="0"/>
        <v>6.4748308539331117E-3</v>
      </c>
      <c r="G32">
        <f t="shared" si="1"/>
        <v>0.15598290598290598</v>
      </c>
      <c r="H32">
        <f t="shared" si="2"/>
        <v>7.3974685621730485E-2</v>
      </c>
    </row>
    <row r="33" spans="1:8" x14ac:dyDescent="0.25">
      <c r="A33" s="15">
        <v>4.1673432580515606E-3</v>
      </c>
      <c r="B33" s="15">
        <v>0.4</v>
      </c>
      <c r="C33" s="15">
        <v>5.8469054166536402E-2</v>
      </c>
      <c r="D33" s="15">
        <v>1.8106327321540598</v>
      </c>
      <c r="E33" s="15">
        <v>0.62393162393162394</v>
      </c>
      <c r="F33">
        <f t="shared" si="0"/>
        <v>2.6001372464766149E-3</v>
      </c>
      <c r="G33">
        <f t="shared" si="1"/>
        <v>0.24957264957264957</v>
      </c>
      <c r="H33">
        <f t="shared" si="2"/>
        <v>3.6480691915873137E-2</v>
      </c>
    </row>
    <row r="34" spans="1:8" x14ac:dyDescent="0.25">
      <c r="A34" s="15">
        <v>1.7752857671286842E-2</v>
      </c>
      <c r="B34" s="15">
        <v>0.4</v>
      </c>
      <c r="C34" s="15">
        <v>0.12761404152438677</v>
      </c>
      <c r="D34" s="15">
        <v>0.25966483409749758</v>
      </c>
      <c r="E34" s="15">
        <v>0.62393162393162394</v>
      </c>
      <c r="F34">
        <f t="shared" si="0"/>
        <v>1.1076569316272987E-2</v>
      </c>
      <c r="G34">
        <f t="shared" si="1"/>
        <v>0.24957264957264957</v>
      </c>
      <c r="H34">
        <f t="shared" si="2"/>
        <v>7.9622436164788327E-2</v>
      </c>
    </row>
    <row r="35" spans="1:8" x14ac:dyDescent="0.25">
      <c r="A35" s="15">
        <v>6.6442525136274754E-3</v>
      </c>
      <c r="B35" s="15">
        <v>0.5</v>
      </c>
      <c r="C35" s="15">
        <v>0.16755495194527356</v>
      </c>
      <c r="D35" s="15">
        <v>14.886099842850273</v>
      </c>
      <c r="E35" s="15">
        <v>0.37606837606837606</v>
      </c>
      <c r="F35">
        <f t="shared" si="0"/>
        <v>2.4986932529881102E-3</v>
      </c>
      <c r="G35">
        <f t="shared" si="1"/>
        <v>0.18803418803418803</v>
      </c>
      <c r="H35">
        <f t="shared" si="2"/>
        <v>6.3012118680273815E-2</v>
      </c>
    </row>
    <row r="36" spans="1:8" x14ac:dyDescent="0.25">
      <c r="A36" s="15">
        <v>8.4150182759319576E-3</v>
      </c>
      <c r="B36" s="15">
        <v>0.5</v>
      </c>
      <c r="C36" s="15">
        <v>9.7314364642135401E-2</v>
      </c>
      <c r="D36" s="15">
        <v>11.672986877159339</v>
      </c>
      <c r="E36" s="15">
        <v>0.37606837606837606</v>
      </c>
      <c r="F36">
        <f t="shared" si="0"/>
        <v>3.164622257615437E-3</v>
      </c>
      <c r="G36">
        <f t="shared" si="1"/>
        <v>0.18803418803418803</v>
      </c>
      <c r="H36">
        <f t="shared" si="2"/>
        <v>3.6596855079093653E-2</v>
      </c>
    </row>
    <row r="37" spans="1:8" x14ac:dyDescent="0.25">
      <c r="A37" s="15">
        <v>9.3172693057426269E-3</v>
      </c>
      <c r="B37" s="15">
        <v>0.5</v>
      </c>
      <c r="C37" s="15">
        <v>7.8689172966772497E-2</v>
      </c>
      <c r="D37" s="15">
        <v>11.762943669741091</v>
      </c>
      <c r="E37" s="15">
        <v>0.37606837606837606</v>
      </c>
      <c r="F37">
        <f t="shared" si="0"/>
        <v>3.5039303372023556E-3</v>
      </c>
      <c r="G37">
        <f t="shared" si="1"/>
        <v>0.18803418803418803</v>
      </c>
      <c r="H37">
        <f t="shared" si="2"/>
        <v>2.9592509491777691E-2</v>
      </c>
    </row>
    <row r="38" spans="1:8" x14ac:dyDescent="0.25">
      <c r="A38" s="15">
        <v>2.6177986144506112E-2</v>
      </c>
      <c r="B38" s="15">
        <v>0.33333333333333331</v>
      </c>
      <c r="C38" s="15">
        <v>-1.3211799310637734E-3</v>
      </c>
      <c r="D38" s="15">
        <v>15.773584999509852</v>
      </c>
      <c r="E38" s="15">
        <v>0.63247863247863245</v>
      </c>
      <c r="F38">
        <f t="shared" si="0"/>
        <v>1.6557016877721813E-2</v>
      </c>
      <c r="G38">
        <f t="shared" si="1"/>
        <v>0.21082621082621081</v>
      </c>
      <c r="H38">
        <f t="shared" si="2"/>
        <v>-8.3561807605742934E-4</v>
      </c>
    </row>
    <row r="39" spans="1:8" x14ac:dyDescent="0.25">
      <c r="A39" s="15">
        <v>1.9720718940221933E-2</v>
      </c>
      <c r="B39" s="15">
        <v>0.33333333333333331</v>
      </c>
      <c r="C39" s="15">
        <v>0.13294245125580845</v>
      </c>
      <c r="D39" s="15">
        <v>18.117124185080982</v>
      </c>
      <c r="E39" s="15">
        <v>0.63247863247863245</v>
      </c>
      <c r="F39">
        <f t="shared" si="0"/>
        <v>1.2472933346807035E-2</v>
      </c>
      <c r="G39">
        <f t="shared" si="1"/>
        <v>0.21082621082621081</v>
      </c>
      <c r="H39">
        <f t="shared" si="2"/>
        <v>8.4083259768630986E-2</v>
      </c>
    </row>
    <row r="40" spans="1:8" x14ac:dyDescent="0.25">
      <c r="A40" s="15">
        <v>2.8053836825566607E-2</v>
      </c>
      <c r="B40" s="15">
        <v>0.33333333333333331</v>
      </c>
      <c r="C40" s="15">
        <v>-5.8226010855559257E-2</v>
      </c>
      <c r="D40" s="15">
        <v>20.546567346811123</v>
      </c>
      <c r="E40" s="15">
        <v>0.63247863247863245</v>
      </c>
      <c r="F40">
        <f t="shared" si="0"/>
        <v>1.7743452351213065E-2</v>
      </c>
      <c r="G40">
        <f t="shared" si="1"/>
        <v>0.21082621082621081</v>
      </c>
      <c r="H40">
        <f t="shared" si="2"/>
        <v>-3.6826707720610127E-2</v>
      </c>
    </row>
    <row r="41" spans="1:8" x14ac:dyDescent="0.25">
      <c r="A41" s="15">
        <v>3.3304889888495834E-4</v>
      </c>
      <c r="B41" s="15">
        <v>0.33333333333333331</v>
      </c>
      <c r="C41" s="15">
        <v>0.11519756700793149</v>
      </c>
      <c r="D41" s="15">
        <v>9.7069775699077745</v>
      </c>
      <c r="E41" s="15">
        <v>0.66666666666666663</v>
      </c>
      <c r="F41">
        <f t="shared" si="0"/>
        <v>2.2203259925663888E-4</v>
      </c>
      <c r="G41">
        <f t="shared" si="1"/>
        <v>0.22222222222222221</v>
      </c>
      <c r="H41">
        <f t="shared" si="2"/>
        <v>7.679837800528766E-2</v>
      </c>
    </row>
    <row r="42" spans="1:8" x14ac:dyDescent="0.25">
      <c r="A42" s="15">
        <v>7.7432934527078888E-4</v>
      </c>
      <c r="B42" s="15">
        <v>0.33333333333333331</v>
      </c>
      <c r="C42" s="15">
        <v>-5.4504326724483354E-2</v>
      </c>
      <c r="D42" s="15">
        <v>11.169035086025431</v>
      </c>
      <c r="E42" s="15">
        <v>0.66666666666666663</v>
      </c>
      <c r="F42">
        <f t="shared" si="0"/>
        <v>5.1621956351385922E-4</v>
      </c>
      <c r="G42">
        <f t="shared" si="1"/>
        <v>0.22222222222222221</v>
      </c>
      <c r="H42">
        <f t="shared" si="2"/>
        <v>-3.6336217816322236E-2</v>
      </c>
    </row>
    <row r="43" spans="1:8" x14ac:dyDescent="0.25">
      <c r="A43" s="15">
        <v>9.5458598670597952E-5</v>
      </c>
      <c r="B43" s="15">
        <v>0.33333333333333331</v>
      </c>
      <c r="C43" s="15">
        <v>9.6268831744512534E-2</v>
      </c>
      <c r="D43" s="15">
        <v>15.036787695061285</v>
      </c>
      <c r="E43" s="15">
        <v>0.66666666666666663</v>
      </c>
      <c r="F43">
        <f t="shared" si="0"/>
        <v>6.363906578039863E-5</v>
      </c>
      <c r="G43">
        <f t="shared" si="1"/>
        <v>0.22222222222222221</v>
      </c>
      <c r="H43">
        <f t="shared" si="2"/>
        <v>6.4179221163008351E-2</v>
      </c>
    </row>
    <row r="44" spans="1:8" x14ac:dyDescent="0.25">
      <c r="A44" s="15">
        <v>1.3627534723444775E-2</v>
      </c>
      <c r="B44" s="15">
        <v>0.33333333333333331</v>
      </c>
      <c r="C44" s="15">
        <v>3.6645205932111319E-2</v>
      </c>
      <c r="D44" s="15">
        <v>15.11350521016008</v>
      </c>
      <c r="E44" s="15">
        <v>0.60683760683760679</v>
      </c>
      <c r="F44">
        <f t="shared" si="0"/>
        <v>8.2697005586716155E-3</v>
      </c>
      <c r="G44">
        <f t="shared" si="1"/>
        <v>0.20227920227920226</v>
      </c>
      <c r="H44">
        <f t="shared" si="2"/>
        <v>2.2237689069913705E-2</v>
      </c>
    </row>
    <row r="45" spans="1:8" x14ac:dyDescent="0.25">
      <c r="A45" s="15">
        <v>1.2203137609739545E-2</v>
      </c>
      <c r="B45" s="15">
        <v>0.33333333333333331</v>
      </c>
      <c r="C45" s="15">
        <v>8.8663035628461798E-2</v>
      </c>
      <c r="D45" s="15">
        <v>15.048934916446024</v>
      </c>
      <c r="E45" s="15">
        <v>0.60683760683760679</v>
      </c>
      <c r="F45">
        <f t="shared" si="0"/>
        <v>7.4053228230043381E-3</v>
      </c>
      <c r="G45">
        <f t="shared" si="1"/>
        <v>0.20227920227920226</v>
      </c>
      <c r="H45">
        <f t="shared" si="2"/>
        <v>5.3804064355733226E-2</v>
      </c>
    </row>
    <row r="46" spans="1:8" x14ac:dyDescent="0.25">
      <c r="A46" s="15">
        <v>3.4233734599231049E-2</v>
      </c>
      <c r="B46" s="15">
        <v>0.33333333333333331</v>
      </c>
      <c r="C46" s="15">
        <v>0.24605608916437072</v>
      </c>
      <c r="D46" s="15">
        <v>4.8665101800111454</v>
      </c>
      <c r="E46" s="15">
        <v>0.60683760683760679</v>
      </c>
      <c r="F46">
        <f t="shared" si="0"/>
        <v>2.0774317577311147E-2</v>
      </c>
      <c r="G46">
        <f t="shared" si="1"/>
        <v>0.20227920227920226</v>
      </c>
      <c r="H46">
        <f t="shared" si="2"/>
        <v>0.14931608829632753</v>
      </c>
    </row>
    <row r="47" spans="1:8" x14ac:dyDescent="0.25">
      <c r="A47" s="15">
        <v>8.7623235423487907E-4</v>
      </c>
      <c r="B47" s="15">
        <v>0.5</v>
      </c>
      <c r="C47" s="15">
        <v>6.0209207100378401E-2</v>
      </c>
      <c r="D47" s="15">
        <v>13.192777843174763</v>
      </c>
      <c r="E47" s="15">
        <v>0.84615384615384615</v>
      </c>
      <c r="F47">
        <f t="shared" si="0"/>
        <v>7.414273766602823E-4</v>
      </c>
      <c r="G47">
        <f t="shared" si="1"/>
        <v>0.42307692307692307</v>
      </c>
      <c r="H47">
        <f t="shared" si="2"/>
        <v>5.0946252161858649E-2</v>
      </c>
    </row>
    <row r="48" spans="1:8" x14ac:dyDescent="0.25">
      <c r="A48" s="15">
        <v>1.0882876964220043E-3</v>
      </c>
      <c r="B48" s="15">
        <v>0.5</v>
      </c>
      <c r="C48" s="15">
        <v>3.1930606892177499E-2</v>
      </c>
      <c r="D48" s="15">
        <v>12.975807723448639</v>
      </c>
      <c r="E48" s="15">
        <v>0.84615384615384615</v>
      </c>
      <c r="F48">
        <f t="shared" si="0"/>
        <v>9.208588200493883E-4</v>
      </c>
      <c r="G48">
        <f t="shared" si="1"/>
        <v>0.42307692307692307</v>
      </c>
      <c r="H48">
        <f t="shared" si="2"/>
        <v>2.7018205831842498E-2</v>
      </c>
    </row>
    <row r="49" spans="1:8" x14ac:dyDescent="0.25">
      <c r="A49" s="15">
        <v>6.445149887772839E-4</v>
      </c>
      <c r="B49" s="15">
        <v>0.5</v>
      </c>
      <c r="C49" s="15">
        <v>4.1555647628880026E-2</v>
      </c>
      <c r="D49" s="15">
        <v>14.713870446880614</v>
      </c>
      <c r="E49" s="15">
        <v>0.84615384615384615</v>
      </c>
      <c r="F49">
        <f t="shared" si="0"/>
        <v>5.453588366577018E-4</v>
      </c>
      <c r="G49">
        <f t="shared" si="1"/>
        <v>0.42307692307692307</v>
      </c>
      <c r="H49">
        <f t="shared" si="2"/>
        <v>3.5162471070590791E-2</v>
      </c>
    </row>
    <row r="50" spans="1:8" x14ac:dyDescent="0.25">
      <c r="A50" s="15">
        <v>2.2906002915793169E-2</v>
      </c>
      <c r="B50" s="15">
        <v>0.5</v>
      </c>
      <c r="C50" s="15">
        <v>-7.4747916282043664E-2</v>
      </c>
      <c r="D50" s="15">
        <v>6.8005539227654195</v>
      </c>
      <c r="E50" s="15">
        <v>0.77777777777777779</v>
      </c>
      <c r="F50">
        <f t="shared" si="0"/>
        <v>1.7815780045616909E-2</v>
      </c>
      <c r="G50">
        <f t="shared" si="1"/>
        <v>0.3888888888888889</v>
      </c>
      <c r="H50">
        <f t="shared" si="2"/>
        <v>-5.8137268219367294E-2</v>
      </c>
    </row>
    <row r="51" spans="1:8" x14ac:dyDescent="0.25">
      <c r="A51" s="15">
        <v>4.2713651962835858E-2</v>
      </c>
      <c r="B51" s="15">
        <v>0.5</v>
      </c>
      <c r="C51" s="15">
        <v>9.9880806572227032E-2</v>
      </c>
      <c r="D51" s="15">
        <v>6.126804912521103</v>
      </c>
      <c r="E51" s="15">
        <v>0.77777777777777779</v>
      </c>
      <c r="F51">
        <f t="shared" si="0"/>
        <v>3.3221729304427891E-2</v>
      </c>
      <c r="G51">
        <f t="shared" si="1"/>
        <v>0.3888888888888889</v>
      </c>
      <c r="H51">
        <f t="shared" si="2"/>
        <v>7.7685071778398798E-2</v>
      </c>
    </row>
    <row r="52" spans="1:8" x14ac:dyDescent="0.25">
      <c r="A52" s="15">
        <v>5.4791071248058668E-2</v>
      </c>
      <c r="B52" s="15">
        <v>0.5</v>
      </c>
      <c r="C52" s="15">
        <v>3.9287788579157129E-2</v>
      </c>
      <c r="D52" s="15">
        <v>3.7723110077107789</v>
      </c>
      <c r="E52" s="15">
        <v>0.77777777777777779</v>
      </c>
      <c r="F52">
        <f t="shared" si="0"/>
        <v>4.2615277637378962E-2</v>
      </c>
      <c r="G52">
        <f t="shared" si="1"/>
        <v>0.3888888888888889</v>
      </c>
      <c r="H52">
        <f t="shared" si="2"/>
        <v>3.055716889489999E-2</v>
      </c>
    </row>
    <row r="53" spans="1:8" x14ac:dyDescent="0.25">
      <c r="A53" s="15">
        <v>8.4663490845054523E-4</v>
      </c>
      <c r="B53" s="15">
        <v>0.33333333333333331</v>
      </c>
      <c r="C53" s="15">
        <v>3.3266471003465817E-2</v>
      </c>
      <c r="D53" s="15">
        <v>20.378526931818531</v>
      </c>
      <c r="E53" s="15">
        <v>0.41025641025641024</v>
      </c>
      <c r="F53">
        <f t="shared" si="0"/>
        <v>3.473373983386852E-4</v>
      </c>
      <c r="G53">
        <f t="shared" si="1"/>
        <v>0.13675213675213674</v>
      </c>
      <c r="H53">
        <f t="shared" si="2"/>
        <v>1.3647782975780847E-2</v>
      </c>
    </row>
    <row r="54" spans="1:8" x14ac:dyDescent="0.25">
      <c r="A54" s="15">
        <v>8.4938022642832873E-4</v>
      </c>
      <c r="B54" s="15">
        <v>0.33333333333333331</v>
      </c>
      <c r="C54" s="15">
        <v>0.11564096991958028</v>
      </c>
      <c r="D54" s="15">
        <v>22.178900838730613</v>
      </c>
      <c r="E54" s="15">
        <v>0.41025641025641024</v>
      </c>
      <c r="F54">
        <f t="shared" si="0"/>
        <v>3.4846368263726304E-4</v>
      </c>
      <c r="G54">
        <f t="shared" si="1"/>
        <v>0.13675213675213674</v>
      </c>
      <c r="H54">
        <f t="shared" si="2"/>
        <v>4.7442449197776522E-2</v>
      </c>
    </row>
    <row r="55" spans="1:8" x14ac:dyDescent="0.25">
      <c r="A55" s="15">
        <v>1.2632706582650745E-3</v>
      </c>
      <c r="B55" s="15">
        <v>0.33333333333333331</v>
      </c>
      <c r="C55" s="15">
        <v>4.7774827993915824E-2</v>
      </c>
      <c r="D55" s="15">
        <v>18.981460611112126</v>
      </c>
      <c r="E55" s="15">
        <v>0.41025641025641024</v>
      </c>
      <c r="F55">
        <f t="shared" si="0"/>
        <v>5.1826488544208179E-4</v>
      </c>
      <c r="G55">
        <f t="shared" si="1"/>
        <v>0.13675213675213674</v>
      </c>
      <c r="H55">
        <f t="shared" si="2"/>
        <v>1.9599929433401362E-2</v>
      </c>
    </row>
    <row r="56" spans="1:8" x14ac:dyDescent="0.25">
      <c r="A56" s="15">
        <v>1.6897118574668234E-3</v>
      </c>
      <c r="B56" s="15">
        <v>0.33333333333333331</v>
      </c>
      <c r="C56" s="15">
        <v>-7.8821066292455624E-2</v>
      </c>
      <c r="D56" s="15">
        <v>12.163711025023289</v>
      </c>
      <c r="E56" s="15">
        <v>0.44444444444444442</v>
      </c>
      <c r="F56">
        <f t="shared" si="0"/>
        <v>7.5098304776303256E-4</v>
      </c>
      <c r="G56">
        <f t="shared" si="1"/>
        <v>0.14814814814814814</v>
      </c>
      <c r="H56">
        <f t="shared" si="2"/>
        <v>-3.5031585018869167E-2</v>
      </c>
    </row>
    <row r="57" spans="1:8" x14ac:dyDescent="0.25">
      <c r="A57" s="15">
        <v>1.4043567794634222E-3</v>
      </c>
      <c r="B57" s="15">
        <v>0.33333333333333331</v>
      </c>
      <c r="C57" s="15">
        <v>-4.6197998404993036E-2</v>
      </c>
      <c r="D57" s="15">
        <v>15.34217607428395</v>
      </c>
      <c r="E57" s="15">
        <v>0.44444444444444442</v>
      </c>
      <c r="F57">
        <f t="shared" si="0"/>
        <v>6.2415856865040984E-4</v>
      </c>
      <c r="G57">
        <f t="shared" si="1"/>
        <v>0.14814814814814814</v>
      </c>
      <c r="H57">
        <f t="shared" si="2"/>
        <v>-2.053244373555246E-2</v>
      </c>
    </row>
    <row r="58" spans="1:8" x14ac:dyDescent="0.25">
      <c r="A58" s="15">
        <v>5.3638588646053649E-4</v>
      </c>
      <c r="B58" s="15">
        <v>0.5</v>
      </c>
      <c r="C58" s="15">
        <v>0.27068611934794068</v>
      </c>
      <c r="D58" s="15">
        <v>15.268259427651712</v>
      </c>
      <c r="E58" s="15">
        <v>0.44444444444444442</v>
      </c>
      <c r="F58">
        <f t="shared" si="0"/>
        <v>2.3839372731579398E-4</v>
      </c>
      <c r="G58">
        <f t="shared" si="1"/>
        <v>0.22222222222222221</v>
      </c>
      <c r="H58">
        <f t="shared" si="2"/>
        <v>0.12030494193241807</v>
      </c>
    </row>
    <row r="59" spans="1:8" x14ac:dyDescent="0.25">
      <c r="A59" s="15">
        <v>1.9885924279370169E-2</v>
      </c>
      <c r="B59" s="15">
        <v>0.33333333333333331</v>
      </c>
      <c r="C59" s="15">
        <v>-4.1912439903877052E-2</v>
      </c>
      <c r="D59" s="15">
        <v>11.020879060641056</v>
      </c>
      <c r="E59" s="15">
        <v>0.63247863247863245</v>
      </c>
      <c r="F59">
        <f t="shared" si="0"/>
        <v>1.2577422193789678E-2</v>
      </c>
      <c r="G59">
        <f t="shared" si="1"/>
        <v>0.21082621082621081</v>
      </c>
      <c r="H59">
        <f t="shared" si="2"/>
        <v>-2.6508722674247025E-2</v>
      </c>
    </row>
    <row r="60" spans="1:8" x14ac:dyDescent="0.25">
      <c r="A60" s="15">
        <v>2.4693646646965746E-3</v>
      </c>
      <c r="B60" s="15">
        <v>0.33333333333333331</v>
      </c>
      <c r="C60" s="15">
        <v>8.8007906329149302E-2</v>
      </c>
      <c r="D60" s="15">
        <v>12.844448268117828</v>
      </c>
      <c r="E60" s="15">
        <v>0.63247863247863245</v>
      </c>
      <c r="F60">
        <f t="shared" si="0"/>
        <v>1.5618203862183464E-3</v>
      </c>
      <c r="G60">
        <f t="shared" si="1"/>
        <v>0.21082621082621081</v>
      </c>
      <c r="H60">
        <f t="shared" si="2"/>
        <v>5.5663120242367935E-2</v>
      </c>
    </row>
    <row r="61" spans="1:8" x14ac:dyDescent="0.25">
      <c r="A61" s="15">
        <v>7.0063587435019664E-3</v>
      </c>
      <c r="B61" s="15">
        <v>0.5</v>
      </c>
      <c r="C61" s="15">
        <v>-0.24955287639662008</v>
      </c>
      <c r="D61" s="15">
        <v>8.1103696171696473</v>
      </c>
      <c r="E61" s="15">
        <v>0.63247863247863245</v>
      </c>
      <c r="F61">
        <f t="shared" si="0"/>
        <v>4.4313721967448334E-3</v>
      </c>
      <c r="G61">
        <f t="shared" si="1"/>
        <v>0.31623931623931623</v>
      </c>
      <c r="H61">
        <f t="shared" si="2"/>
        <v>-0.15783686199444347</v>
      </c>
    </row>
    <row r="62" spans="1:8" x14ac:dyDescent="0.25">
      <c r="A62" s="15">
        <v>1.0640202707370248E-3</v>
      </c>
      <c r="B62" s="15">
        <v>0.33333333333333331</v>
      </c>
      <c r="C62" s="15">
        <v>0.10595565056341893</v>
      </c>
      <c r="D62" s="15">
        <v>10.20991026616759</v>
      </c>
      <c r="E62" s="15">
        <v>0.94871794871794868</v>
      </c>
      <c r="F62">
        <f t="shared" si="0"/>
        <v>1.0094551286479465E-3</v>
      </c>
      <c r="G62">
        <f t="shared" si="1"/>
        <v>0.31623931623931623</v>
      </c>
      <c r="H62">
        <f t="shared" si="2"/>
        <v>0.10052202745760258</v>
      </c>
    </row>
    <row r="63" spans="1:8" x14ac:dyDescent="0.25">
      <c r="A63" s="15">
        <v>1.547934261934638E-3</v>
      </c>
      <c r="B63" s="15">
        <v>0.33333333333333331</v>
      </c>
      <c r="C63" s="15">
        <v>0.12893001386811423</v>
      </c>
      <c r="D63" s="15">
        <v>7.3539210508451651</v>
      </c>
      <c r="E63" s="15">
        <v>0.94871794871794868</v>
      </c>
      <c r="F63">
        <f t="shared" si="0"/>
        <v>1.4685530177328617E-3</v>
      </c>
      <c r="G63">
        <f t="shared" si="1"/>
        <v>0.31623931623931623</v>
      </c>
      <c r="H63">
        <f t="shared" si="2"/>
        <v>0.12231821828513401</v>
      </c>
    </row>
    <row r="64" spans="1:8" x14ac:dyDescent="0.25">
      <c r="A64" s="15">
        <v>2.065495356517958E-3</v>
      </c>
      <c r="B64" s="15">
        <v>0.5</v>
      </c>
      <c r="C64" s="15">
        <v>6.185786148180232E-2</v>
      </c>
      <c r="D64" s="15">
        <v>5.6579027014361447</v>
      </c>
      <c r="E64" s="15">
        <v>0.94871794871794868</v>
      </c>
      <c r="F64">
        <f t="shared" si="0"/>
        <v>1.9595725177221652E-3</v>
      </c>
      <c r="G64">
        <f t="shared" si="1"/>
        <v>0.47435897435897434</v>
      </c>
      <c r="H64">
        <f t="shared" si="2"/>
        <v>5.8685663457094507E-2</v>
      </c>
    </row>
    <row r="65" spans="1:8" x14ac:dyDescent="0.25">
      <c r="A65" s="15">
        <v>9.1752980129764256E-3</v>
      </c>
      <c r="B65" s="15">
        <v>0.33333333333333331</v>
      </c>
      <c r="C65" s="15">
        <v>7.5998103789564883E-2</v>
      </c>
      <c r="D65" s="15">
        <v>5.3941100453903692</v>
      </c>
      <c r="E65" s="15">
        <v>0.61538461538461542</v>
      </c>
      <c r="F65">
        <f t="shared" si="0"/>
        <v>5.6463372387547239E-3</v>
      </c>
      <c r="G65">
        <f t="shared" si="1"/>
        <v>0.20512820512820512</v>
      </c>
      <c r="H65">
        <f t="shared" si="2"/>
        <v>4.6768063870501468E-2</v>
      </c>
    </row>
    <row r="66" spans="1:8" x14ac:dyDescent="0.25">
      <c r="A66" s="15">
        <v>6.5104298322458303E-3</v>
      </c>
      <c r="B66" s="15">
        <v>0.33333333333333331</v>
      </c>
      <c r="C66" s="15">
        <v>5.8879109272345409E-2</v>
      </c>
      <c r="D66" s="15">
        <v>7.8568015102203654</v>
      </c>
      <c r="E66" s="15">
        <v>0.61538461538461542</v>
      </c>
      <c r="F66">
        <f t="shared" si="0"/>
        <v>4.0064183583051263E-3</v>
      </c>
      <c r="G66">
        <f t="shared" si="1"/>
        <v>0.20512820512820512</v>
      </c>
      <c r="H66">
        <f t="shared" si="2"/>
        <v>3.6233298013751025E-2</v>
      </c>
    </row>
    <row r="67" spans="1:8" x14ac:dyDescent="0.25">
      <c r="A67" s="15">
        <v>7.8268669838950176E-3</v>
      </c>
      <c r="B67" s="15">
        <v>0.33333333333333331</v>
      </c>
      <c r="C67" s="15">
        <v>5.936869262025618E-2</v>
      </c>
      <c r="D67" s="15">
        <v>5.2024387267915664</v>
      </c>
      <c r="E67" s="15">
        <v>0.61538461538461542</v>
      </c>
      <c r="F67">
        <f t="shared" ref="F67:F130" si="3">A67*E67</f>
        <v>4.81653352855078E-3</v>
      </c>
      <c r="G67">
        <f t="shared" ref="G67:G130" si="4">B67*E67</f>
        <v>0.20512820512820512</v>
      </c>
      <c r="H67">
        <f t="shared" ref="H67:H130" si="5">C67*E67</f>
        <v>3.6534580074003807E-2</v>
      </c>
    </row>
    <row r="68" spans="1:8" x14ac:dyDescent="0.25">
      <c r="A68" s="15">
        <v>9.6392132543525744E-3</v>
      </c>
      <c r="B68" s="15">
        <v>0.5</v>
      </c>
      <c r="C68" s="15">
        <v>-7.1838426155480362E-2</v>
      </c>
      <c r="D68" s="15">
        <v>13.443283975785617</v>
      </c>
      <c r="E68" s="15">
        <v>0.76068376068376065</v>
      </c>
      <c r="F68">
        <f t="shared" si="3"/>
        <v>7.3323929883536672E-3</v>
      </c>
      <c r="G68">
        <f t="shared" si="4"/>
        <v>0.38034188034188032</v>
      </c>
      <c r="H68">
        <f t="shared" si="5"/>
        <v>-5.4646324169553437E-2</v>
      </c>
    </row>
    <row r="69" spans="1:8" x14ac:dyDescent="0.25">
      <c r="A69" s="15">
        <v>1.0730035877480176E-2</v>
      </c>
      <c r="B69" s="15">
        <v>0.5</v>
      </c>
      <c r="C69" s="15">
        <v>-4.4069062618973726E-2</v>
      </c>
      <c r="D69" s="15">
        <v>11.542418682157253</v>
      </c>
      <c r="E69" s="15">
        <v>0.76068376068376065</v>
      </c>
      <c r="F69">
        <f t="shared" si="3"/>
        <v>8.1621640435532959E-3</v>
      </c>
      <c r="G69">
        <f t="shared" si="4"/>
        <v>0.38034188034188032</v>
      </c>
      <c r="H69">
        <f t="shared" si="5"/>
        <v>-3.3522620282809071E-2</v>
      </c>
    </row>
    <row r="70" spans="1:8" x14ac:dyDescent="0.25">
      <c r="A70" s="15">
        <v>8.7688844410472224E-3</v>
      </c>
      <c r="B70" s="15">
        <v>0.5</v>
      </c>
      <c r="C70" s="15">
        <v>5.5502800007707742E-2</v>
      </c>
      <c r="D70" s="15">
        <v>14.637306308321907</v>
      </c>
      <c r="E70" s="15">
        <v>0.76068376068376065</v>
      </c>
      <c r="F70">
        <f t="shared" si="3"/>
        <v>6.6703479936171175E-3</v>
      </c>
      <c r="G70">
        <f t="shared" si="4"/>
        <v>0.38034188034188032</v>
      </c>
      <c r="H70">
        <f t="shared" si="5"/>
        <v>4.2220078638341783E-2</v>
      </c>
    </row>
    <row r="71" spans="1:8" x14ac:dyDescent="0.25">
      <c r="A71" s="15">
        <v>2.7249943534729711E-4</v>
      </c>
      <c r="B71" s="15">
        <v>0.5</v>
      </c>
      <c r="C71" s="15">
        <v>1.218408429714337E-2</v>
      </c>
      <c r="D71" s="15">
        <v>6.7041665466610514</v>
      </c>
      <c r="E71" s="15">
        <v>0.65811965811965811</v>
      </c>
      <c r="F71">
        <f t="shared" si="3"/>
        <v>1.7933723522856306E-4</v>
      </c>
      <c r="G71">
        <f t="shared" si="4"/>
        <v>0.32905982905982906</v>
      </c>
      <c r="H71">
        <f t="shared" si="5"/>
        <v>8.0185853921370901E-3</v>
      </c>
    </row>
    <row r="72" spans="1:8" x14ac:dyDescent="0.25">
      <c r="A72" s="15">
        <v>4.2920600035580757E-4</v>
      </c>
      <c r="B72" s="15">
        <v>0.5</v>
      </c>
      <c r="C72" s="15">
        <v>-1.0799874780655496E-2</v>
      </c>
      <c r="D72" s="15">
        <v>4.9626359657180732</v>
      </c>
      <c r="E72" s="15">
        <v>0.65811965811965811</v>
      </c>
      <c r="F72">
        <f t="shared" si="3"/>
        <v>2.8246890621706994E-4</v>
      </c>
      <c r="G72">
        <f t="shared" si="4"/>
        <v>0.32905982905982906</v>
      </c>
      <c r="H72">
        <f t="shared" si="5"/>
        <v>-7.1076098983801125E-3</v>
      </c>
    </row>
    <row r="73" spans="1:8" x14ac:dyDescent="0.25">
      <c r="A73" s="15">
        <v>4.0782632455547307E-4</v>
      </c>
      <c r="B73" s="15">
        <v>0.4</v>
      </c>
      <c r="C73" s="15">
        <v>-7.4888363382666703E-3</v>
      </c>
      <c r="D73" s="15">
        <v>7.0976192960410964</v>
      </c>
      <c r="E73" s="15">
        <v>0.65811965811965811</v>
      </c>
      <c r="F73">
        <f t="shared" si="3"/>
        <v>2.6839852128864467E-4</v>
      </c>
      <c r="G73">
        <f t="shared" si="4"/>
        <v>0.26324786324786326</v>
      </c>
      <c r="H73">
        <f t="shared" si="5"/>
        <v>-4.9285504106541334E-3</v>
      </c>
    </row>
    <row r="74" spans="1:8" x14ac:dyDescent="0.25">
      <c r="A74" s="15">
        <v>4.0397357185569154E-3</v>
      </c>
      <c r="B74" s="15">
        <v>0.375</v>
      </c>
      <c r="C74" s="15">
        <v>2.6843694504300214E-2</v>
      </c>
      <c r="D74" s="15">
        <v>6.2640596537638036</v>
      </c>
      <c r="E74" s="15">
        <v>0.71794871794871795</v>
      </c>
      <c r="F74">
        <f t="shared" si="3"/>
        <v>2.9003230799895803E-3</v>
      </c>
      <c r="G74">
        <f t="shared" si="4"/>
        <v>0.26923076923076922</v>
      </c>
      <c r="H74">
        <f t="shared" si="5"/>
        <v>1.9272396054369385E-2</v>
      </c>
    </row>
    <row r="75" spans="1:8" x14ac:dyDescent="0.25">
      <c r="A75" s="15">
        <v>5.4180719230935339E-3</v>
      </c>
      <c r="B75" s="15">
        <v>0.375</v>
      </c>
      <c r="C75" s="15">
        <v>2.8284114365088705E-2</v>
      </c>
      <c r="D75" s="15">
        <v>5.0947186578087305</v>
      </c>
      <c r="E75" s="15">
        <v>0.71794871794871795</v>
      </c>
      <c r="F75">
        <f t="shared" si="3"/>
        <v>3.8898977909389474E-3</v>
      </c>
      <c r="G75">
        <f t="shared" si="4"/>
        <v>0.26923076923076922</v>
      </c>
      <c r="H75">
        <f t="shared" si="5"/>
        <v>2.0306543646730353E-2</v>
      </c>
    </row>
    <row r="76" spans="1:8" x14ac:dyDescent="0.25">
      <c r="A76" s="15">
        <v>4.4061924876800255E-3</v>
      </c>
      <c r="B76" s="15">
        <v>0.375</v>
      </c>
      <c r="C76" s="15">
        <v>2.756746959679772E-2</v>
      </c>
      <c r="D76" s="15">
        <v>6.159954364042906</v>
      </c>
      <c r="E76" s="15">
        <v>0.71794871794871795</v>
      </c>
      <c r="F76">
        <f t="shared" si="3"/>
        <v>3.1634202475651465E-3</v>
      </c>
      <c r="G76">
        <f t="shared" si="4"/>
        <v>0.26923076923076922</v>
      </c>
      <c r="H76">
        <f t="shared" si="5"/>
        <v>1.9792029454111182E-2</v>
      </c>
    </row>
    <row r="77" spans="1:8" x14ac:dyDescent="0.25">
      <c r="A77" s="15">
        <v>3.4225039607751855E-3</v>
      </c>
      <c r="B77" s="15">
        <v>0.33333333333333331</v>
      </c>
      <c r="C77" s="15">
        <v>9.6008705844994088E-2</v>
      </c>
      <c r="D77" s="15">
        <v>7.4533810410310641</v>
      </c>
      <c r="E77" s="15">
        <v>0.74358974358974361</v>
      </c>
      <c r="F77">
        <f t="shared" si="3"/>
        <v>2.544938842627702E-3</v>
      </c>
      <c r="G77">
        <f t="shared" si="4"/>
        <v>0.24786324786324787</v>
      </c>
      <c r="H77">
        <f t="shared" si="5"/>
        <v>7.1391088961662269E-2</v>
      </c>
    </row>
    <row r="78" spans="1:8" x14ac:dyDescent="0.25">
      <c r="A78" s="15">
        <v>4.2476814822416326E-3</v>
      </c>
      <c r="B78" s="15">
        <v>0.5</v>
      </c>
      <c r="C78" s="15">
        <v>7.9266457001087531E-2</v>
      </c>
      <c r="D78" s="15">
        <v>4.560693015151287</v>
      </c>
      <c r="E78" s="15">
        <v>0.74358974358974361</v>
      </c>
      <c r="F78">
        <f t="shared" si="3"/>
        <v>3.1585323842309577E-3</v>
      </c>
      <c r="G78">
        <f t="shared" si="4"/>
        <v>0.37179487179487181</v>
      </c>
      <c r="H78">
        <f t="shared" si="5"/>
        <v>5.8941724436706117E-2</v>
      </c>
    </row>
    <row r="79" spans="1:8" x14ac:dyDescent="0.25">
      <c r="A79" s="15">
        <v>9.1878611555709661E-3</v>
      </c>
      <c r="B79" s="15">
        <v>0.5</v>
      </c>
      <c r="C79" s="15">
        <v>4.5884579148919517E-2</v>
      </c>
      <c r="D79" s="15">
        <v>2.7731978290696202</v>
      </c>
      <c r="E79" s="15">
        <v>0.74358974358974361</v>
      </c>
      <c r="F79">
        <f t="shared" si="3"/>
        <v>6.8319993208091805E-3</v>
      </c>
      <c r="G79">
        <f t="shared" si="4"/>
        <v>0.37179487179487181</v>
      </c>
      <c r="H79">
        <f t="shared" si="5"/>
        <v>3.4119302444068363E-2</v>
      </c>
    </row>
    <row r="80" spans="1:8" x14ac:dyDescent="0.25">
      <c r="A80" s="15">
        <v>5.5227655476336943E-3</v>
      </c>
      <c r="B80" s="15">
        <v>0.4</v>
      </c>
      <c r="C80" s="15">
        <v>3.2923838675609551E-2</v>
      </c>
      <c r="D80" s="15">
        <v>8.3672896126144796</v>
      </c>
      <c r="E80" s="15">
        <v>0.5641025641025641</v>
      </c>
      <c r="F80">
        <f t="shared" si="3"/>
        <v>3.1154062063574687E-3</v>
      </c>
      <c r="G80">
        <f t="shared" si="4"/>
        <v>0.22564102564102564</v>
      </c>
      <c r="H80">
        <f t="shared" si="5"/>
        <v>1.8572421817010517E-2</v>
      </c>
    </row>
    <row r="81" spans="1:8" x14ac:dyDescent="0.25">
      <c r="A81" s="15">
        <v>5.4819996426104887E-3</v>
      </c>
      <c r="B81" s="15">
        <v>0.4</v>
      </c>
      <c r="C81" s="15">
        <v>0.12009230792077069</v>
      </c>
      <c r="D81" s="15">
        <v>8.3376332133984246</v>
      </c>
      <c r="E81" s="15">
        <v>0.5641025641025641</v>
      </c>
      <c r="F81">
        <f t="shared" si="3"/>
        <v>3.0924100548059166E-3</v>
      </c>
      <c r="G81">
        <f t="shared" si="4"/>
        <v>0.22564102564102564</v>
      </c>
      <c r="H81">
        <f t="shared" si="5"/>
        <v>6.7744378827101409E-2</v>
      </c>
    </row>
    <row r="82" spans="1:8" x14ac:dyDescent="0.25">
      <c r="A82" s="15">
        <v>8.6027636053862822E-3</v>
      </c>
      <c r="B82" s="15">
        <v>0.4</v>
      </c>
      <c r="C82" s="15">
        <v>6.6613124509081523E-2</v>
      </c>
      <c r="D82" s="15">
        <v>6.0784773908494207</v>
      </c>
      <c r="E82" s="15">
        <v>0.5641025641025641</v>
      </c>
      <c r="F82">
        <f t="shared" si="3"/>
        <v>4.8528410081666203E-3</v>
      </c>
      <c r="G82">
        <f t="shared" si="4"/>
        <v>0.22564102564102564</v>
      </c>
      <c r="H82">
        <f t="shared" si="5"/>
        <v>3.757663433845624E-2</v>
      </c>
    </row>
    <row r="83" spans="1:8" x14ac:dyDescent="0.25">
      <c r="A83" s="15">
        <v>5.8466470845396183E-3</v>
      </c>
      <c r="B83" s="15">
        <v>0.6</v>
      </c>
      <c r="C83" s="15">
        <v>9.6341420099547229E-2</v>
      </c>
      <c r="D83" s="15">
        <v>1.1105262922556562</v>
      </c>
      <c r="E83" s="15">
        <v>0.53846153846153844</v>
      </c>
      <c r="F83">
        <f t="shared" si="3"/>
        <v>3.1481945839828712E-3</v>
      </c>
      <c r="G83">
        <f t="shared" si="4"/>
        <v>0.32307692307692304</v>
      </c>
      <c r="H83">
        <f t="shared" si="5"/>
        <v>5.1876149284371585E-2</v>
      </c>
    </row>
    <row r="84" spans="1:8" x14ac:dyDescent="0.25">
      <c r="A84" s="15">
        <v>6.8656020635253561E-3</v>
      </c>
      <c r="B84" s="15">
        <v>0.6</v>
      </c>
      <c r="C84" s="15">
        <v>-1.589986876543658E-2</v>
      </c>
      <c r="D84" s="15">
        <v>0.45619741999402552</v>
      </c>
      <c r="E84" s="15">
        <v>0.53846153846153844</v>
      </c>
      <c r="F84">
        <f t="shared" si="3"/>
        <v>3.6968626495905762E-3</v>
      </c>
      <c r="G84">
        <f t="shared" si="4"/>
        <v>0.32307692307692304</v>
      </c>
      <c r="H84">
        <f t="shared" si="5"/>
        <v>-8.5614677967735427E-3</v>
      </c>
    </row>
    <row r="85" spans="1:8" x14ac:dyDescent="0.25">
      <c r="A85" s="15">
        <v>3.546394262212729E-3</v>
      </c>
      <c r="B85" s="15">
        <v>0.6</v>
      </c>
      <c r="C85" s="15">
        <v>1.5245493358877482E-3</v>
      </c>
      <c r="D85" s="15">
        <v>1.1448132550010612</v>
      </c>
      <c r="E85" s="15">
        <v>0.53846153846153844</v>
      </c>
      <c r="F85">
        <f t="shared" si="3"/>
        <v>1.9095969104222386E-3</v>
      </c>
      <c r="G85">
        <f t="shared" si="4"/>
        <v>0.32307692307692304</v>
      </c>
      <c r="H85">
        <f t="shared" si="5"/>
        <v>8.2091118086263359E-4</v>
      </c>
    </row>
    <row r="86" spans="1:8" x14ac:dyDescent="0.25">
      <c r="A86" s="15">
        <v>8.211759405271458E-4</v>
      </c>
      <c r="B86" s="15">
        <v>0.5</v>
      </c>
      <c r="C86" s="15">
        <v>-9.128138197893873E-2</v>
      </c>
      <c r="D86" s="15">
        <v>22.787341757423039</v>
      </c>
      <c r="E86" s="15">
        <v>0.6495726495726496</v>
      </c>
      <c r="F86">
        <f t="shared" si="3"/>
        <v>5.3341343145353061E-4</v>
      </c>
      <c r="G86">
        <f t="shared" si="4"/>
        <v>0.3247863247863248</v>
      </c>
      <c r="H86">
        <f t="shared" si="5"/>
        <v>-5.9293889148712337E-2</v>
      </c>
    </row>
    <row r="87" spans="1:8" x14ac:dyDescent="0.25">
      <c r="A87" s="15">
        <v>7.0742324084825919E-4</v>
      </c>
      <c r="B87" s="15">
        <v>0.5</v>
      </c>
      <c r="C87" s="15">
        <v>-0.10930679492970644</v>
      </c>
      <c r="D87" s="15">
        <v>27.408666523238097</v>
      </c>
      <c r="E87" s="15">
        <v>0.6495726495726496</v>
      </c>
      <c r="F87">
        <f t="shared" si="3"/>
        <v>4.5952278892707435E-4</v>
      </c>
      <c r="G87">
        <f t="shared" si="4"/>
        <v>0.3247863247863248</v>
      </c>
      <c r="H87">
        <f t="shared" si="5"/>
        <v>-7.1002704398783673E-2</v>
      </c>
    </row>
    <row r="88" spans="1:8" x14ac:dyDescent="0.25">
      <c r="A88" s="15">
        <v>6.2545770286375477E-4</v>
      </c>
      <c r="B88" s="15">
        <v>0.4</v>
      </c>
      <c r="C88" s="15">
        <v>0.12070665478932419</v>
      </c>
      <c r="D88" s="15">
        <v>31.298170299010224</v>
      </c>
      <c r="E88" s="15">
        <v>0.6495726495726496</v>
      </c>
      <c r="F88">
        <f t="shared" si="3"/>
        <v>4.0628021724483217E-4</v>
      </c>
      <c r="G88">
        <f t="shared" si="4"/>
        <v>0.25982905982905985</v>
      </c>
      <c r="H88">
        <f t="shared" si="5"/>
        <v>7.8407741572552467E-2</v>
      </c>
    </row>
    <row r="89" spans="1:8" x14ac:dyDescent="0.25">
      <c r="A89" s="15">
        <v>4.4853541331844821E-3</v>
      </c>
      <c r="B89" s="15">
        <v>0.4</v>
      </c>
      <c r="C89" s="15">
        <v>5.3328941457771985E-2</v>
      </c>
      <c r="D89" s="15">
        <v>6.0802978734899469</v>
      </c>
      <c r="E89" s="15">
        <v>0.65811965811965811</v>
      </c>
      <c r="F89">
        <f t="shared" si="3"/>
        <v>2.9518997286769669E-3</v>
      </c>
      <c r="G89">
        <f t="shared" si="4"/>
        <v>0.26324786324786326</v>
      </c>
      <c r="H89">
        <f t="shared" si="5"/>
        <v>3.509682472007216E-2</v>
      </c>
    </row>
    <row r="90" spans="1:8" x14ac:dyDescent="0.25">
      <c r="A90" s="15">
        <v>2.193329160708538E-3</v>
      </c>
      <c r="B90" s="15">
        <v>0.4</v>
      </c>
      <c r="C90" s="15">
        <v>7.510312715426555E-2</v>
      </c>
      <c r="D90" s="15">
        <v>8.8438244142979414</v>
      </c>
      <c r="E90" s="15">
        <v>0.65811965811965811</v>
      </c>
      <c r="F90">
        <f t="shared" si="3"/>
        <v>1.4434730373893796E-3</v>
      </c>
      <c r="G90">
        <f t="shared" si="4"/>
        <v>0.26324786324786326</v>
      </c>
      <c r="H90">
        <f t="shared" si="5"/>
        <v>4.9426844366482453E-2</v>
      </c>
    </row>
    <row r="91" spans="1:8" x14ac:dyDescent="0.25">
      <c r="A91" s="15">
        <v>1.5026786458523329E-3</v>
      </c>
      <c r="B91" s="15">
        <v>0.4</v>
      </c>
      <c r="C91" s="15">
        <v>-9.6662686072656739E-3</v>
      </c>
      <c r="D91" s="15">
        <v>13.593703568592344</v>
      </c>
      <c r="E91" s="15">
        <v>0.65811965811965811</v>
      </c>
      <c r="F91">
        <f t="shared" si="3"/>
        <v>9.8894235667204805E-4</v>
      </c>
      <c r="G91">
        <f t="shared" si="4"/>
        <v>0.26324786324786326</v>
      </c>
      <c r="H91">
        <f t="shared" si="5"/>
        <v>-6.3615613911064692E-3</v>
      </c>
    </row>
    <row r="92" spans="1:8" x14ac:dyDescent="0.25">
      <c r="A92" s="15">
        <v>1.3046406711161293E-2</v>
      </c>
      <c r="B92" s="15">
        <v>0.33333333333333331</v>
      </c>
      <c r="C92" s="15">
        <v>5.8426766080590817E-2</v>
      </c>
      <c r="D92" s="15">
        <v>6.7664936347808373</v>
      </c>
      <c r="E92" s="15">
        <v>0.70085470085470081</v>
      </c>
      <c r="F92">
        <f t="shared" si="3"/>
        <v>9.1436354727797084E-3</v>
      </c>
      <c r="G92">
        <f t="shared" si="4"/>
        <v>0.23361823361823358</v>
      </c>
      <c r="H92">
        <f t="shared" si="5"/>
        <v>4.0948673663320057E-2</v>
      </c>
    </row>
    <row r="93" spans="1:8" x14ac:dyDescent="0.25">
      <c r="A93" s="15">
        <v>8.7912551168216942E-3</v>
      </c>
      <c r="B93" s="15">
        <v>0.33333333333333331</v>
      </c>
      <c r="C93" s="15">
        <v>5.0683365145437601E-2</v>
      </c>
      <c r="D93" s="15">
        <v>10.465231583198674</v>
      </c>
      <c r="E93" s="15">
        <v>0.70085470085470081</v>
      </c>
      <c r="F93">
        <f t="shared" si="3"/>
        <v>6.161392475037426E-3</v>
      </c>
      <c r="G93">
        <f t="shared" si="4"/>
        <v>0.23361823361823358</v>
      </c>
      <c r="H93">
        <f t="shared" si="5"/>
        <v>3.5521674717315238E-2</v>
      </c>
    </row>
    <row r="94" spans="1:8" x14ac:dyDescent="0.25">
      <c r="A94" s="15">
        <v>1.2001184962331757E-2</v>
      </c>
      <c r="B94" s="15">
        <v>0.33333333333333331</v>
      </c>
      <c r="C94" s="15">
        <v>9.5668146042159077E-2</v>
      </c>
      <c r="D94" s="15">
        <v>8.4518540308189429</v>
      </c>
      <c r="E94" s="15">
        <v>0.70085470085470081</v>
      </c>
      <c r="F94">
        <f t="shared" si="3"/>
        <v>8.4110868966769583E-3</v>
      </c>
      <c r="G94">
        <f t="shared" si="4"/>
        <v>0.23361823361823358</v>
      </c>
      <c r="H94">
        <f t="shared" si="5"/>
        <v>6.7049469875701234E-2</v>
      </c>
    </row>
    <row r="95" spans="1:8" x14ac:dyDescent="0.25">
      <c r="A95" s="15">
        <v>1.8888362661051615E-2</v>
      </c>
      <c r="B95" s="15">
        <v>0.33333333333333331</v>
      </c>
      <c r="C95" s="15">
        <v>2.0477231163645325E-2</v>
      </c>
      <c r="D95" s="15">
        <v>1.5076632992913088</v>
      </c>
      <c r="E95" s="15">
        <v>0.5213675213675214</v>
      </c>
      <c r="F95">
        <f t="shared" si="3"/>
        <v>9.8477788232833215E-3</v>
      </c>
      <c r="G95">
        <f t="shared" si="4"/>
        <v>0.1737891737891738</v>
      </c>
      <c r="H95">
        <f t="shared" si="5"/>
        <v>1.067616325625953E-2</v>
      </c>
    </row>
    <row r="96" spans="1:8" x14ac:dyDescent="0.25">
      <c r="A96" s="15">
        <v>4.549579054024637E-3</v>
      </c>
      <c r="B96" s="15">
        <v>0.33333333333333331</v>
      </c>
      <c r="C96" s="15">
        <v>5.3215218948511528E-2</v>
      </c>
      <c r="D96" s="15">
        <v>4.2422692134598812</v>
      </c>
      <c r="E96" s="15">
        <v>0.5213675213675214</v>
      </c>
      <c r="F96">
        <f t="shared" si="3"/>
        <v>2.3720027546624179E-3</v>
      </c>
      <c r="G96">
        <f t="shared" si="4"/>
        <v>0.1737891737891738</v>
      </c>
      <c r="H96">
        <f t="shared" si="5"/>
        <v>2.7744686802215413E-2</v>
      </c>
    </row>
    <row r="97" spans="1:8" x14ac:dyDescent="0.25">
      <c r="A97" s="15">
        <v>0.1533672419942424</v>
      </c>
      <c r="B97" s="15">
        <v>0.33333333333333331</v>
      </c>
      <c r="C97" s="15">
        <v>8.483622012565456E-2</v>
      </c>
      <c r="D97" s="15">
        <v>0.12539184310471962</v>
      </c>
      <c r="E97" s="15">
        <v>0.5213675213675214</v>
      </c>
      <c r="F97">
        <f t="shared" si="3"/>
        <v>7.9960698817511E-2</v>
      </c>
      <c r="G97">
        <f t="shared" si="4"/>
        <v>0.1737891737891738</v>
      </c>
      <c r="H97">
        <f t="shared" si="5"/>
        <v>4.4230849809101955E-2</v>
      </c>
    </row>
    <row r="98" spans="1:8" x14ac:dyDescent="0.25">
      <c r="A98" s="15">
        <v>2.0051650198026592E-3</v>
      </c>
      <c r="B98" s="15">
        <v>0.42857142857142855</v>
      </c>
      <c r="C98" s="15">
        <v>4.6249741457605624E-2</v>
      </c>
      <c r="D98" s="15">
        <v>7.0130568586151796</v>
      </c>
      <c r="E98" s="15">
        <v>0.62393162393162394</v>
      </c>
      <c r="F98">
        <f t="shared" si="3"/>
        <v>1.25108586705636E-3</v>
      </c>
      <c r="G98">
        <f t="shared" si="4"/>
        <v>0.26739926739926739</v>
      </c>
      <c r="H98">
        <f t="shared" si="5"/>
        <v>2.885667629406163E-2</v>
      </c>
    </row>
    <row r="99" spans="1:8" x14ac:dyDescent="0.25">
      <c r="A99" s="15">
        <v>1.1942547769682446E-3</v>
      </c>
      <c r="B99" s="15">
        <v>0.42857142857142855</v>
      </c>
      <c r="C99" s="15">
        <v>-6.732904196367559E-4</v>
      </c>
      <c r="D99" s="15">
        <v>12.922185008014168</v>
      </c>
      <c r="E99" s="15">
        <v>0.62393162393162394</v>
      </c>
      <c r="F99">
        <f t="shared" si="3"/>
        <v>7.4513332238189617E-4</v>
      </c>
      <c r="G99">
        <f t="shared" si="4"/>
        <v>0.26739926739926739</v>
      </c>
      <c r="H99">
        <f t="shared" si="5"/>
        <v>-4.2008718490156566E-4</v>
      </c>
    </row>
    <row r="100" spans="1:8" x14ac:dyDescent="0.25">
      <c r="A100" s="15">
        <v>6.5224487127806766E-3</v>
      </c>
      <c r="B100" s="15">
        <v>0.42857142857142855</v>
      </c>
      <c r="C100" s="15">
        <v>3.6011916509386038E-2</v>
      </c>
      <c r="D100" s="15">
        <v>2.311062571363848</v>
      </c>
      <c r="E100" s="15">
        <v>0.62393162393162394</v>
      </c>
      <c r="F100">
        <f t="shared" si="3"/>
        <v>4.0695620173759779E-3</v>
      </c>
      <c r="G100">
        <f t="shared" si="4"/>
        <v>0.26739926739926739</v>
      </c>
      <c r="H100">
        <f t="shared" si="5"/>
        <v>2.246897354859129E-2</v>
      </c>
    </row>
    <row r="101" spans="1:8" x14ac:dyDescent="0.25">
      <c r="A101" s="15">
        <v>1.9430877158132318E-3</v>
      </c>
      <c r="B101" s="15">
        <v>0.5</v>
      </c>
      <c r="C101" s="15">
        <v>8.7999633597489704E-2</v>
      </c>
      <c r="D101" s="15">
        <v>15.757473040625275</v>
      </c>
      <c r="E101" s="15">
        <v>0.46153846153846156</v>
      </c>
      <c r="F101">
        <f t="shared" si="3"/>
        <v>8.9680971499072248E-4</v>
      </c>
      <c r="G101">
        <f t="shared" si="4"/>
        <v>0.23076923076923078</v>
      </c>
      <c r="H101">
        <f t="shared" si="5"/>
        <v>4.0615215506533714E-2</v>
      </c>
    </row>
    <row r="102" spans="1:8" x14ac:dyDescent="0.25">
      <c r="A102" s="15">
        <v>1.0977415113726096E-3</v>
      </c>
      <c r="B102" s="15">
        <v>0.5</v>
      </c>
      <c r="C102" s="15">
        <v>4.5349884849350736E-2</v>
      </c>
      <c r="D102" s="15">
        <v>13.604000624890844</v>
      </c>
      <c r="E102" s="15">
        <v>0.46153846153846156</v>
      </c>
      <c r="F102">
        <f t="shared" si="3"/>
        <v>5.0664992832581983E-4</v>
      </c>
      <c r="G102">
        <f t="shared" si="4"/>
        <v>0.23076923076923078</v>
      </c>
      <c r="H102">
        <f t="shared" si="5"/>
        <v>2.0930716084315727E-2</v>
      </c>
    </row>
    <row r="103" spans="1:8" x14ac:dyDescent="0.25">
      <c r="A103" s="15">
        <v>8.2423602821632695E-4</v>
      </c>
      <c r="B103" s="15">
        <v>0.5</v>
      </c>
      <c r="C103" s="15">
        <v>7.1834682718336582E-2</v>
      </c>
      <c r="D103" s="15">
        <v>16.741239362644279</v>
      </c>
      <c r="E103" s="15">
        <v>0.46153846153846156</v>
      </c>
      <c r="F103">
        <f t="shared" si="3"/>
        <v>3.8041662840753555E-4</v>
      </c>
      <c r="G103">
        <f t="shared" si="4"/>
        <v>0.23076923076923078</v>
      </c>
      <c r="H103">
        <f t="shared" si="5"/>
        <v>3.315446894692458E-2</v>
      </c>
    </row>
    <row r="104" spans="1:8" x14ac:dyDescent="0.25">
      <c r="A104" s="15">
        <v>1.2277817344263786E-2</v>
      </c>
      <c r="B104" s="15">
        <v>0.33333333333333331</v>
      </c>
      <c r="C104" s="15">
        <v>-1.1184515579099122E-2</v>
      </c>
      <c r="D104" s="15">
        <v>3.756001524756881</v>
      </c>
      <c r="E104" s="15">
        <v>0.74358974358974361</v>
      </c>
      <c r="F104">
        <f t="shared" si="3"/>
        <v>9.1296590508628157E-3</v>
      </c>
      <c r="G104">
        <f t="shared" si="4"/>
        <v>0.24786324786324787</v>
      </c>
      <c r="H104">
        <f t="shared" si="5"/>
        <v>-8.3166910716378096E-3</v>
      </c>
    </row>
    <row r="105" spans="1:8" x14ac:dyDescent="0.25">
      <c r="A105" s="15">
        <v>1.0884158514673588E-2</v>
      </c>
      <c r="B105" s="15">
        <v>0.33333333333333331</v>
      </c>
      <c r="C105" s="15">
        <v>6.8225595577914966E-2</v>
      </c>
      <c r="D105" s="15">
        <v>3.3853681334398709</v>
      </c>
      <c r="E105" s="15">
        <v>0.74358974358974361</v>
      </c>
      <c r="F105">
        <f t="shared" si="3"/>
        <v>8.0933486391162584E-3</v>
      </c>
      <c r="G105">
        <f t="shared" si="4"/>
        <v>0.24786324786324787</v>
      </c>
      <c r="H105">
        <f t="shared" si="5"/>
        <v>5.0731853122039337E-2</v>
      </c>
    </row>
    <row r="106" spans="1:8" x14ac:dyDescent="0.25">
      <c r="A106" s="15">
        <v>1.5718257222100625E-2</v>
      </c>
      <c r="B106" s="15">
        <v>0.33333333333333331</v>
      </c>
      <c r="C106" s="15">
        <v>0.17021495292401476</v>
      </c>
      <c r="D106" s="15">
        <v>2.3652988941722128</v>
      </c>
      <c r="E106" s="15">
        <v>0.74358974358974361</v>
      </c>
      <c r="F106">
        <f t="shared" si="3"/>
        <v>1.1687934857459439E-2</v>
      </c>
      <c r="G106">
        <f t="shared" si="4"/>
        <v>0.24786324786324787</v>
      </c>
      <c r="H106">
        <f t="shared" si="5"/>
        <v>0.12657009319990842</v>
      </c>
    </row>
    <row r="107" spans="1:8" x14ac:dyDescent="0.25">
      <c r="A107" s="15">
        <v>2.2517766244239869E-4</v>
      </c>
      <c r="B107" s="15">
        <v>0.4</v>
      </c>
      <c r="C107" s="15">
        <v>0.1790281882368871</v>
      </c>
      <c r="D107" s="15">
        <v>14.133798830245118</v>
      </c>
      <c r="E107" s="15">
        <v>0.58119658119658124</v>
      </c>
      <c r="F107">
        <f t="shared" si="3"/>
        <v>1.3087248757335994E-4</v>
      </c>
      <c r="G107">
        <f t="shared" si="4"/>
        <v>0.23247863247863251</v>
      </c>
      <c r="H107">
        <f t="shared" si="5"/>
        <v>0.10405057094109678</v>
      </c>
    </row>
    <row r="108" spans="1:8" x14ac:dyDescent="0.25">
      <c r="A108" s="15">
        <v>1.8085333266424961E-4</v>
      </c>
      <c r="B108" s="15">
        <v>0.4</v>
      </c>
      <c r="C108" s="15">
        <v>-0.10198323835088476</v>
      </c>
      <c r="D108" s="15">
        <v>11.436954775022958</v>
      </c>
      <c r="E108" s="15">
        <v>0.58119658119658124</v>
      </c>
      <c r="F108">
        <f t="shared" si="3"/>
        <v>1.0511133864246986E-4</v>
      </c>
      <c r="G108">
        <f t="shared" si="4"/>
        <v>0.23247863247863251</v>
      </c>
      <c r="H108">
        <f t="shared" si="5"/>
        <v>-5.927230946889029E-2</v>
      </c>
    </row>
    <row r="109" spans="1:8" x14ac:dyDescent="0.25">
      <c r="A109" s="15">
        <v>1.5534834583619551E-4</v>
      </c>
      <c r="B109" s="15">
        <v>0.4</v>
      </c>
      <c r="C109" s="15">
        <v>-9.6744497532167323E-2</v>
      </c>
      <c r="D109" s="15">
        <v>9.660499789093576</v>
      </c>
      <c r="E109" s="15">
        <v>0.58119658119658124</v>
      </c>
      <c r="F109">
        <f t="shared" si="3"/>
        <v>9.0287927494540993E-5</v>
      </c>
      <c r="G109">
        <f t="shared" si="4"/>
        <v>0.23247863247863251</v>
      </c>
      <c r="H109">
        <f t="shared" si="5"/>
        <v>-5.6227571215276738E-2</v>
      </c>
    </row>
    <row r="110" spans="1:8" x14ac:dyDescent="0.25">
      <c r="A110" s="15">
        <v>3.9160615698864266E-5</v>
      </c>
      <c r="B110" s="15">
        <v>0.33333333333333331</v>
      </c>
      <c r="C110" s="15">
        <v>3.0180023088554456E-2</v>
      </c>
      <c r="D110" s="15">
        <v>17.237988695878521</v>
      </c>
      <c r="E110" s="15">
        <v>0.40170940170940173</v>
      </c>
      <c r="F110">
        <f t="shared" si="3"/>
        <v>1.5731187502962567E-5</v>
      </c>
      <c r="G110">
        <f t="shared" si="4"/>
        <v>0.13390313390313391</v>
      </c>
      <c r="H110">
        <f t="shared" si="5"/>
        <v>1.2123599018479141E-2</v>
      </c>
    </row>
    <row r="111" spans="1:8" x14ac:dyDescent="0.25">
      <c r="A111" s="15">
        <v>5.178738997768999E-5</v>
      </c>
      <c r="B111" s="15">
        <v>0.33333333333333331</v>
      </c>
      <c r="C111" s="15">
        <v>0.1382149729925739</v>
      </c>
      <c r="D111" s="15">
        <v>13.088895290708514</v>
      </c>
      <c r="E111" s="15">
        <v>0.40170940170940173</v>
      </c>
      <c r="F111">
        <f t="shared" si="3"/>
        <v>2.0803481444029314E-5</v>
      </c>
      <c r="G111">
        <f t="shared" si="4"/>
        <v>0.13390313390313391</v>
      </c>
      <c r="H111">
        <f t="shared" si="5"/>
        <v>5.5522254108127979E-2</v>
      </c>
    </row>
    <row r="112" spans="1:8" x14ac:dyDescent="0.25">
      <c r="A112" s="15">
        <v>4.2152793760712079E-5</v>
      </c>
      <c r="B112" s="15">
        <v>0.33333333333333331</v>
      </c>
      <c r="C112" s="15">
        <v>3.369166873971078E-2</v>
      </c>
      <c r="D112" s="15">
        <v>15.765124091634771</v>
      </c>
      <c r="E112" s="15">
        <v>0.40170940170940173</v>
      </c>
      <c r="F112">
        <f t="shared" si="3"/>
        <v>1.6933173561995453E-5</v>
      </c>
      <c r="G112">
        <f t="shared" si="4"/>
        <v>0.13390313390313391</v>
      </c>
      <c r="H112">
        <f t="shared" si="5"/>
        <v>1.3534260092020569E-2</v>
      </c>
    </row>
    <row r="113" spans="1:8" x14ac:dyDescent="0.25">
      <c r="A113" s="15">
        <v>5.2586724064751372E-3</v>
      </c>
      <c r="B113" s="15">
        <v>0.83333333333333337</v>
      </c>
      <c r="C113" s="15">
        <v>5.6191967501530271E-2</v>
      </c>
      <c r="D113" s="15">
        <v>30.197122673103522</v>
      </c>
      <c r="E113" s="15">
        <v>0.80341880341880345</v>
      </c>
      <c r="F113">
        <f t="shared" si="3"/>
        <v>4.2249162923817347E-3</v>
      </c>
      <c r="G113">
        <f t="shared" si="4"/>
        <v>0.66951566951566954</v>
      </c>
      <c r="H113">
        <f t="shared" si="5"/>
        <v>4.5145683291827741E-2</v>
      </c>
    </row>
    <row r="114" spans="1:8" x14ac:dyDescent="0.25">
      <c r="A114" s="15">
        <v>6.0510199802004229E-3</v>
      </c>
      <c r="B114" s="15">
        <v>0.83333333333333337</v>
      </c>
      <c r="C114" s="15">
        <v>-4.0196409141517356E-2</v>
      </c>
      <c r="D114" s="15">
        <v>29.286644902417358</v>
      </c>
      <c r="E114" s="15">
        <v>0.80341880341880345</v>
      </c>
      <c r="F114">
        <f t="shared" si="3"/>
        <v>4.8615032319558951E-3</v>
      </c>
      <c r="G114">
        <f t="shared" si="4"/>
        <v>0.66951566951566954</v>
      </c>
      <c r="H114">
        <f t="shared" si="5"/>
        <v>-3.2294550934210527E-2</v>
      </c>
    </row>
    <row r="115" spans="1:8" x14ac:dyDescent="0.25">
      <c r="A115" s="15">
        <v>6.3238755327081776E-3</v>
      </c>
      <c r="B115" s="15">
        <v>0.83333333333333337</v>
      </c>
      <c r="C115" s="15">
        <v>1.909980175906123E-2</v>
      </c>
      <c r="D115" s="15">
        <v>28.810100956032031</v>
      </c>
      <c r="E115" s="15">
        <v>0.80341880341880345</v>
      </c>
      <c r="F115">
        <f t="shared" si="3"/>
        <v>5.0807205134578521E-3</v>
      </c>
      <c r="G115">
        <f t="shared" si="4"/>
        <v>0.66951566951566954</v>
      </c>
      <c r="H115">
        <f t="shared" si="5"/>
        <v>1.5345139874801331E-2</v>
      </c>
    </row>
    <row r="116" spans="1:8" x14ac:dyDescent="0.25">
      <c r="A116" s="15">
        <v>3.8071697934359524E-3</v>
      </c>
      <c r="B116" s="15">
        <v>0.33333333333333331</v>
      </c>
      <c r="C116" s="15">
        <v>0.14687038972381228</v>
      </c>
      <c r="D116" s="15">
        <v>12.681243897562473</v>
      </c>
      <c r="E116" s="15">
        <v>0.55555555555555558</v>
      </c>
      <c r="F116">
        <f t="shared" si="3"/>
        <v>2.1150943296866405E-3</v>
      </c>
      <c r="G116">
        <f t="shared" si="4"/>
        <v>0.18518518518518517</v>
      </c>
      <c r="H116">
        <f t="shared" si="5"/>
        <v>8.1594660957673495E-2</v>
      </c>
    </row>
    <row r="117" spans="1:8" x14ac:dyDescent="0.25">
      <c r="A117" s="15">
        <v>3.7934783613157753E-3</v>
      </c>
      <c r="B117" s="15">
        <v>0.33333333333333331</v>
      </c>
      <c r="C117" s="15">
        <v>0.21036485421378387</v>
      </c>
      <c r="D117" s="15">
        <v>10.925450783528929</v>
      </c>
      <c r="E117" s="15">
        <v>0.55555555555555558</v>
      </c>
      <c r="F117">
        <f t="shared" si="3"/>
        <v>2.1074879785087644E-3</v>
      </c>
      <c r="G117">
        <f t="shared" si="4"/>
        <v>0.18518518518518517</v>
      </c>
      <c r="H117">
        <f t="shared" si="5"/>
        <v>0.11686936345210215</v>
      </c>
    </row>
    <row r="118" spans="1:8" x14ac:dyDescent="0.25">
      <c r="A118" s="15">
        <v>2.7523036849555304E-3</v>
      </c>
      <c r="B118" s="15">
        <v>0.33333333333333331</v>
      </c>
      <c r="C118" s="15">
        <v>3.7014038139458402E-2</v>
      </c>
      <c r="D118" s="15">
        <v>14.114111660282761</v>
      </c>
      <c r="E118" s="15">
        <v>0.55555555555555558</v>
      </c>
      <c r="F118">
        <f t="shared" si="3"/>
        <v>1.5290576027530726E-3</v>
      </c>
      <c r="G118">
        <f t="shared" si="4"/>
        <v>0.18518518518518517</v>
      </c>
      <c r="H118">
        <f t="shared" si="5"/>
        <v>2.0563354521921335E-2</v>
      </c>
    </row>
    <row r="119" spans="1:8" x14ac:dyDescent="0.25">
      <c r="A119" s="15">
        <v>7.5670731801355025E-3</v>
      </c>
      <c r="B119" s="15">
        <v>0.33333333333333331</v>
      </c>
      <c r="C119" s="15">
        <v>-7.6026979301567418E-2</v>
      </c>
      <c r="D119" s="15">
        <v>8.6612917235673361</v>
      </c>
      <c r="E119" s="15">
        <v>0.44444444444444442</v>
      </c>
      <c r="F119">
        <f t="shared" si="3"/>
        <v>3.3631436356157786E-3</v>
      </c>
      <c r="G119">
        <f t="shared" si="4"/>
        <v>0.14814814814814814</v>
      </c>
      <c r="H119">
        <f t="shared" si="5"/>
        <v>-3.3789768578474405E-2</v>
      </c>
    </row>
    <row r="120" spans="1:8" x14ac:dyDescent="0.25">
      <c r="A120" s="15">
        <v>8.5520515828332682E-4</v>
      </c>
      <c r="B120" s="15">
        <v>0.5</v>
      </c>
      <c r="C120" s="15">
        <v>-2.0575756089446232E-2</v>
      </c>
      <c r="D120" s="15">
        <v>11.282087815417881</v>
      </c>
      <c r="E120" s="15">
        <v>0.44444444444444442</v>
      </c>
      <c r="F120">
        <f t="shared" si="3"/>
        <v>3.8009118145925636E-4</v>
      </c>
      <c r="G120">
        <f t="shared" si="4"/>
        <v>0.22222222222222221</v>
      </c>
      <c r="H120">
        <f t="shared" si="5"/>
        <v>-9.1447804841983255E-3</v>
      </c>
    </row>
    <row r="121" spans="1:8" x14ac:dyDescent="0.25">
      <c r="A121" s="15">
        <v>3.9238316923324087E-4</v>
      </c>
      <c r="B121" s="15">
        <v>0.5</v>
      </c>
      <c r="C121" s="15">
        <v>8.0978808511156103E-3</v>
      </c>
      <c r="D121" s="15">
        <v>11.704179189756875</v>
      </c>
      <c r="E121" s="15">
        <v>0.44444444444444442</v>
      </c>
      <c r="F121">
        <f t="shared" si="3"/>
        <v>1.7439251965921816E-4</v>
      </c>
      <c r="G121">
        <f t="shared" si="4"/>
        <v>0.22222222222222221</v>
      </c>
      <c r="H121">
        <f t="shared" si="5"/>
        <v>3.5990581560513824E-3</v>
      </c>
    </row>
    <row r="122" spans="1:8" x14ac:dyDescent="0.25">
      <c r="A122" s="15">
        <v>1.9129366508557134E-3</v>
      </c>
      <c r="B122" s="15">
        <v>0.5</v>
      </c>
      <c r="C122" s="15">
        <v>0.14088560646880594</v>
      </c>
      <c r="D122" s="15">
        <v>3.4874636591161359</v>
      </c>
      <c r="E122" s="15">
        <v>0.53846153846153844</v>
      </c>
      <c r="F122">
        <f t="shared" si="3"/>
        <v>1.0300428119992301E-3</v>
      </c>
      <c r="G122">
        <f t="shared" si="4"/>
        <v>0.26923076923076922</v>
      </c>
      <c r="H122">
        <f t="shared" si="5"/>
        <v>7.5861480406280116E-2</v>
      </c>
    </row>
    <row r="123" spans="1:8" x14ac:dyDescent="0.25">
      <c r="A123" s="15">
        <v>2.7345990415506075E-3</v>
      </c>
      <c r="B123" s="15">
        <v>0.5</v>
      </c>
      <c r="C123" s="15">
        <v>0.15596137813071681</v>
      </c>
      <c r="D123" s="15">
        <v>4.329719192827695</v>
      </c>
      <c r="E123" s="15">
        <v>0.53846153846153844</v>
      </c>
      <c r="F123">
        <f t="shared" si="3"/>
        <v>1.4724764069887885E-3</v>
      </c>
      <c r="G123">
        <f t="shared" si="4"/>
        <v>0.26923076923076922</v>
      </c>
      <c r="H123">
        <f t="shared" si="5"/>
        <v>8.3979203608847502E-2</v>
      </c>
    </row>
    <row r="124" spans="1:8" x14ac:dyDescent="0.25">
      <c r="A124" s="15">
        <v>1.3581258792266851E-3</v>
      </c>
      <c r="B124" s="15">
        <v>0.5</v>
      </c>
      <c r="C124" s="15">
        <v>0.1095503466872448</v>
      </c>
      <c r="D124" s="15">
        <v>4.811897427397037</v>
      </c>
      <c r="E124" s="15">
        <v>0.53846153846153844</v>
      </c>
      <c r="F124">
        <f t="shared" si="3"/>
        <v>7.3129855035283038E-4</v>
      </c>
      <c r="G124">
        <f t="shared" si="4"/>
        <v>0.26923076923076922</v>
      </c>
      <c r="H124">
        <f t="shared" si="5"/>
        <v>5.8988648216208736E-2</v>
      </c>
    </row>
    <row r="125" spans="1:8" x14ac:dyDescent="0.25">
      <c r="A125" s="15">
        <v>7.6364807046033741E-3</v>
      </c>
      <c r="B125" s="15">
        <v>0.33333333333333331</v>
      </c>
      <c r="C125" s="15">
        <v>-2.5521174443359947E-2</v>
      </c>
      <c r="D125" s="15">
        <v>5.7300978404793481</v>
      </c>
      <c r="E125" s="15">
        <v>0.60683760683760679</v>
      </c>
      <c r="F125">
        <f t="shared" si="3"/>
        <v>4.6341036754430727E-3</v>
      </c>
      <c r="G125">
        <f t="shared" si="4"/>
        <v>0.20227920227920226</v>
      </c>
      <c r="H125">
        <f t="shared" si="5"/>
        <v>-1.5487208422893641E-2</v>
      </c>
    </row>
    <row r="126" spans="1:8" x14ac:dyDescent="0.25">
      <c r="A126" s="15">
        <v>9.274993161284913E-3</v>
      </c>
      <c r="B126" s="15">
        <v>0.5</v>
      </c>
      <c r="C126" s="15">
        <v>-1.6730644168509862E-2</v>
      </c>
      <c r="D126" s="15">
        <v>6.2229177804499942</v>
      </c>
      <c r="E126" s="15">
        <v>0.60683760683760679</v>
      </c>
      <c r="F126">
        <f t="shared" si="3"/>
        <v>5.6284146534293054E-3</v>
      </c>
      <c r="G126">
        <f t="shared" si="4"/>
        <v>0.3034188034188034</v>
      </c>
      <c r="H126">
        <f t="shared" si="5"/>
        <v>-1.0152784068070086E-2</v>
      </c>
    </row>
    <row r="127" spans="1:8" x14ac:dyDescent="0.25">
      <c r="A127" s="15">
        <v>1.0745679420251493E-2</v>
      </c>
      <c r="B127" s="15">
        <v>0.33333333333333331</v>
      </c>
      <c r="C127" s="15">
        <v>2.8573923499300703E-2</v>
      </c>
      <c r="D127" s="15">
        <v>13.136088629566711</v>
      </c>
      <c r="E127" s="15">
        <v>0.60683760683760679</v>
      </c>
      <c r="F127">
        <f t="shared" si="3"/>
        <v>6.5208823832295379E-3</v>
      </c>
      <c r="G127">
        <f t="shared" si="4"/>
        <v>0.20227920227920226</v>
      </c>
      <c r="H127">
        <f t="shared" si="5"/>
        <v>1.7339731354276494E-2</v>
      </c>
    </row>
    <row r="128" spans="1:8" x14ac:dyDescent="0.25">
      <c r="A128" s="15">
        <v>3.1660125817606133E-4</v>
      </c>
      <c r="B128" s="15">
        <v>0.33333333333333331</v>
      </c>
      <c r="C128" s="15">
        <v>2.3898766961798053E-2</v>
      </c>
      <c r="D128" s="15">
        <v>6.1721133258942951</v>
      </c>
      <c r="E128" s="15">
        <v>0.63247863247863245</v>
      </c>
      <c r="F128">
        <f t="shared" si="3"/>
        <v>2.0024353081220971E-4</v>
      </c>
      <c r="G128">
        <f t="shared" si="4"/>
        <v>0.21082621082621081</v>
      </c>
      <c r="H128">
        <f t="shared" si="5"/>
        <v>1.5115459445923555E-2</v>
      </c>
    </row>
    <row r="129" spans="1:8" x14ac:dyDescent="0.25">
      <c r="A129" s="15">
        <v>4.892801165637912E-4</v>
      </c>
      <c r="B129" s="15">
        <v>0.4</v>
      </c>
      <c r="C129" s="15">
        <v>5.3840304699706229E-2</v>
      </c>
      <c r="D129" s="15">
        <v>3.7416830081772372</v>
      </c>
      <c r="E129" s="15">
        <v>0.63247863247863245</v>
      </c>
      <c r="F129">
        <f t="shared" si="3"/>
        <v>3.0945921902325254E-4</v>
      </c>
      <c r="G129">
        <f t="shared" si="4"/>
        <v>0.25299145299145298</v>
      </c>
      <c r="H129">
        <f t="shared" si="5"/>
        <v>3.4052842288703082E-2</v>
      </c>
    </row>
    <row r="130" spans="1:8" x14ac:dyDescent="0.25">
      <c r="A130" s="15">
        <v>3.2694577154271723E-4</v>
      </c>
      <c r="B130" s="15">
        <v>0.4</v>
      </c>
      <c r="C130" s="15">
        <v>8.0533699935318726E-4</v>
      </c>
      <c r="D130" s="15">
        <v>5.1194565787771564</v>
      </c>
      <c r="E130" s="15">
        <v>0.63247863247863245</v>
      </c>
      <c r="F130">
        <f t="shared" si="3"/>
        <v>2.0678621448000917E-4</v>
      </c>
      <c r="G130">
        <f t="shared" si="4"/>
        <v>0.25299145299145298</v>
      </c>
      <c r="H130">
        <f t="shared" si="5"/>
        <v>5.0935844403534919E-4</v>
      </c>
    </row>
    <row r="131" spans="1:8" x14ac:dyDescent="0.25">
      <c r="A131" s="15">
        <v>7.8178230011021399E-4</v>
      </c>
      <c r="B131" s="15">
        <v>0.33333333333333331</v>
      </c>
      <c r="C131" s="15">
        <v>-6.7472545203420636E-2</v>
      </c>
      <c r="D131" s="15">
        <v>14.809733003635362</v>
      </c>
      <c r="E131" s="15">
        <v>0.33333333333333331</v>
      </c>
      <c r="F131">
        <f t="shared" ref="F131:F184" si="6">A131*E131</f>
        <v>2.6059410003673796E-4</v>
      </c>
      <c r="G131">
        <f t="shared" ref="G131:G184" si="7">B131*E131</f>
        <v>0.1111111111111111</v>
      </c>
      <c r="H131">
        <f t="shared" ref="H131:H184" si="8">C131*E131</f>
        <v>-2.2490848401140212E-2</v>
      </c>
    </row>
    <row r="132" spans="1:8" x14ac:dyDescent="0.25">
      <c r="A132" s="15">
        <v>8.4353714214623814E-4</v>
      </c>
      <c r="B132" s="15">
        <v>0.33333333333333331</v>
      </c>
      <c r="C132" s="15">
        <v>-1.4872243956111419E-2</v>
      </c>
      <c r="D132" s="15">
        <v>13.753228116564282</v>
      </c>
      <c r="E132" s="15">
        <v>0.33333333333333331</v>
      </c>
      <c r="F132">
        <f t="shared" si="6"/>
        <v>2.8117904738207938E-4</v>
      </c>
      <c r="G132">
        <f t="shared" si="7"/>
        <v>0.1111111111111111</v>
      </c>
      <c r="H132">
        <f t="shared" si="8"/>
        <v>-4.9574146520371398E-3</v>
      </c>
    </row>
    <row r="133" spans="1:8" x14ac:dyDescent="0.25">
      <c r="A133" s="15">
        <v>1.3736706219307708E-3</v>
      </c>
      <c r="B133" s="15">
        <v>0.33333333333333331</v>
      </c>
      <c r="C133" s="15">
        <v>8.5943289295690978E-2</v>
      </c>
      <c r="D133" s="15">
        <v>7.9300205626926221</v>
      </c>
      <c r="E133" s="15">
        <v>0.33333333333333331</v>
      </c>
      <c r="F133">
        <f t="shared" si="6"/>
        <v>4.5789020731025693E-4</v>
      </c>
      <c r="G133">
        <f t="shared" si="7"/>
        <v>0.1111111111111111</v>
      </c>
      <c r="H133">
        <f t="shared" si="8"/>
        <v>2.8647763098563657E-2</v>
      </c>
    </row>
    <row r="134" spans="1:8" x14ac:dyDescent="0.25">
      <c r="A134" s="15">
        <v>1.2917466682789426E-2</v>
      </c>
      <c r="B134" s="15">
        <v>0.6</v>
      </c>
      <c r="C134" s="15">
        <v>2.2090829234301501E-2</v>
      </c>
      <c r="D134" s="15">
        <v>5.5812923882935621</v>
      </c>
      <c r="E134" s="15">
        <v>0.47008547008547008</v>
      </c>
      <c r="F134">
        <f t="shared" si="6"/>
        <v>6.0723133978924657E-3</v>
      </c>
      <c r="G134">
        <f t="shared" si="7"/>
        <v>0.28205128205128205</v>
      </c>
      <c r="H134">
        <f t="shared" si="8"/>
        <v>1.0384577845184467E-2</v>
      </c>
    </row>
    <row r="135" spans="1:8" x14ac:dyDescent="0.25">
      <c r="A135" s="15">
        <v>9.3195854333233009E-3</v>
      </c>
      <c r="B135" s="15">
        <v>0.6</v>
      </c>
      <c r="C135" s="15">
        <v>0.10996996547876632</v>
      </c>
      <c r="D135" s="15">
        <v>5.5552268243142162</v>
      </c>
      <c r="E135" s="15">
        <v>0.47008547008547008</v>
      </c>
      <c r="F135">
        <f t="shared" si="6"/>
        <v>4.3810016994254835E-3</v>
      </c>
      <c r="G135">
        <f t="shared" si="7"/>
        <v>0.28205128205128205</v>
      </c>
      <c r="H135">
        <f t="shared" si="8"/>
        <v>5.169528291736878E-2</v>
      </c>
    </row>
    <row r="136" spans="1:8" x14ac:dyDescent="0.25">
      <c r="A136" s="15">
        <v>9.2200102545459111E-3</v>
      </c>
      <c r="B136" s="15">
        <v>0.8</v>
      </c>
      <c r="C136" s="15">
        <v>9.3572131444728826E-2</v>
      </c>
      <c r="D136" s="15">
        <v>4.4521186346080865</v>
      </c>
      <c r="E136" s="15">
        <v>0.47008547008547008</v>
      </c>
      <c r="F136">
        <f t="shared" si="6"/>
        <v>4.3341928547010692E-3</v>
      </c>
      <c r="G136">
        <f t="shared" si="7"/>
        <v>0.37606837606837606</v>
      </c>
      <c r="H136">
        <f t="shared" si="8"/>
        <v>4.3986899397094749E-2</v>
      </c>
    </row>
    <row r="137" spans="1:8" x14ac:dyDescent="0.25">
      <c r="A137" s="15">
        <v>6.3825316633873462E-3</v>
      </c>
      <c r="B137" s="15">
        <v>0.5</v>
      </c>
      <c r="C137" s="15">
        <v>8.1754263901697322E-2</v>
      </c>
      <c r="D137" s="15">
        <v>1.2548494534590275</v>
      </c>
      <c r="E137" s="15">
        <v>0.55555555555555558</v>
      </c>
      <c r="F137">
        <f t="shared" si="6"/>
        <v>3.5458509241040816E-3</v>
      </c>
      <c r="G137">
        <f t="shared" si="7"/>
        <v>0.27777777777777779</v>
      </c>
      <c r="H137">
        <f t="shared" si="8"/>
        <v>4.5419035500942957E-2</v>
      </c>
    </row>
    <row r="138" spans="1:8" x14ac:dyDescent="0.25">
      <c r="A138" s="15">
        <v>1.5622027911424128E-3</v>
      </c>
      <c r="B138" s="15">
        <v>0.5</v>
      </c>
      <c r="C138" s="15">
        <v>7.5265672680354084E-2</v>
      </c>
      <c r="D138" s="15">
        <v>7.1244000241491703</v>
      </c>
      <c r="E138" s="15">
        <v>0.55555555555555558</v>
      </c>
      <c r="F138">
        <f t="shared" si="6"/>
        <v>8.6789043952356269E-4</v>
      </c>
      <c r="G138">
        <f t="shared" si="7"/>
        <v>0.27777777777777779</v>
      </c>
      <c r="H138">
        <f t="shared" si="8"/>
        <v>4.1814262600196717E-2</v>
      </c>
    </row>
    <row r="139" spans="1:8" x14ac:dyDescent="0.25">
      <c r="A139" s="15">
        <v>3.0974511362153122E-3</v>
      </c>
      <c r="B139" s="15">
        <v>0.5</v>
      </c>
      <c r="C139" s="15">
        <v>4.4746452724303734E-2</v>
      </c>
      <c r="D139" s="15">
        <v>4.1696920250961256</v>
      </c>
      <c r="E139" s="15">
        <v>0.55555555555555558</v>
      </c>
      <c r="F139">
        <f t="shared" si="6"/>
        <v>1.7208061867862846E-3</v>
      </c>
      <c r="G139">
        <f t="shared" si="7"/>
        <v>0.27777777777777779</v>
      </c>
      <c r="H139">
        <f t="shared" si="8"/>
        <v>2.4859140402390966E-2</v>
      </c>
    </row>
    <row r="140" spans="1:8" x14ac:dyDescent="0.25">
      <c r="A140" s="15">
        <v>3.9924809730394265E-3</v>
      </c>
      <c r="B140" s="15">
        <v>0.5</v>
      </c>
      <c r="C140" s="15">
        <v>-2.1325839792337903E-2</v>
      </c>
      <c r="D140" s="15">
        <v>5.136231248526534</v>
      </c>
      <c r="E140" s="15">
        <v>0.92307692307692313</v>
      </c>
      <c r="F140">
        <f t="shared" si="6"/>
        <v>3.685367052036394E-3</v>
      </c>
      <c r="G140">
        <f t="shared" si="7"/>
        <v>0.46153846153846156</v>
      </c>
      <c r="H140">
        <f t="shared" si="8"/>
        <v>-1.9685390577542681E-2</v>
      </c>
    </row>
    <row r="141" spans="1:8" x14ac:dyDescent="0.25">
      <c r="A141" s="15">
        <v>4.9325317519589513E-3</v>
      </c>
      <c r="B141" s="15">
        <v>0.5</v>
      </c>
      <c r="C141" s="15">
        <v>-0.10630791653143756</v>
      </c>
      <c r="D141" s="15">
        <v>8.6886614443100125</v>
      </c>
      <c r="E141" s="15">
        <v>0.92307692307692313</v>
      </c>
      <c r="F141">
        <f t="shared" si="6"/>
        <v>4.5531062325774941E-3</v>
      </c>
      <c r="G141">
        <f t="shared" si="7"/>
        <v>0.46153846153846156</v>
      </c>
      <c r="H141">
        <f t="shared" si="8"/>
        <v>-9.8130384490557762E-2</v>
      </c>
    </row>
    <row r="142" spans="1:8" x14ac:dyDescent="0.25">
      <c r="A142" s="15">
        <v>1.6611588308804225E-2</v>
      </c>
      <c r="B142" s="15">
        <v>0.5</v>
      </c>
      <c r="C142" s="15">
        <v>-2.7447468211851289E-2</v>
      </c>
      <c r="D142" s="15">
        <v>1.8725774505809496</v>
      </c>
      <c r="E142" s="15">
        <v>0.92307692307692313</v>
      </c>
      <c r="F142">
        <f t="shared" si="6"/>
        <v>1.5333773823511594E-2</v>
      </c>
      <c r="G142">
        <f t="shared" si="7"/>
        <v>0.46153846153846156</v>
      </c>
      <c r="H142">
        <f t="shared" si="8"/>
        <v>-2.5336124503247345E-2</v>
      </c>
    </row>
    <row r="143" spans="1:8" x14ac:dyDescent="0.25">
      <c r="A143" s="15">
        <v>2.4283689552507745E-2</v>
      </c>
      <c r="B143" s="15">
        <v>0.375</v>
      </c>
      <c r="C143" s="15">
        <v>0.10613691789252036</v>
      </c>
      <c r="D143" s="15">
        <v>9.6313321698306797</v>
      </c>
      <c r="E143" s="15">
        <v>0.79487179487179482</v>
      </c>
      <c r="F143">
        <f t="shared" si="6"/>
        <v>1.9302419900711285E-2</v>
      </c>
      <c r="G143">
        <f t="shared" si="7"/>
        <v>0.29807692307692307</v>
      </c>
      <c r="H143">
        <f t="shared" si="8"/>
        <v>8.4365242427387979E-2</v>
      </c>
    </row>
    <row r="144" spans="1:8" x14ac:dyDescent="0.25">
      <c r="A144" s="15">
        <v>7.8187095406062977E-3</v>
      </c>
      <c r="B144" s="15">
        <v>0.375</v>
      </c>
      <c r="C144" s="15">
        <v>8.5078985396966469E-2</v>
      </c>
      <c r="D144" s="15">
        <v>21.26338037593511</v>
      </c>
      <c r="E144" s="15">
        <v>0.79487179487179482</v>
      </c>
      <c r="F144">
        <f t="shared" si="6"/>
        <v>6.2148716861229539E-3</v>
      </c>
      <c r="G144">
        <f t="shared" si="7"/>
        <v>0.29807692307692307</v>
      </c>
      <c r="H144">
        <f t="shared" si="8"/>
        <v>6.7626885828357963E-2</v>
      </c>
    </row>
    <row r="145" spans="1:8" x14ac:dyDescent="0.25">
      <c r="A145" s="15">
        <v>3.1158916917179633E-2</v>
      </c>
      <c r="B145" s="15">
        <v>0.375</v>
      </c>
      <c r="C145" s="15">
        <v>0.15531733709555856</v>
      </c>
      <c r="D145" s="15">
        <v>11.979603655685098</v>
      </c>
      <c r="E145" s="15">
        <v>0.79487179487179482</v>
      </c>
      <c r="F145">
        <f t="shared" si="6"/>
        <v>2.4767344216219705E-2</v>
      </c>
      <c r="G145">
        <f t="shared" si="7"/>
        <v>0.29807692307692307</v>
      </c>
      <c r="H145">
        <f t="shared" si="8"/>
        <v>0.12345737051185424</v>
      </c>
    </row>
    <row r="146" spans="1:8" x14ac:dyDescent="0.25">
      <c r="A146" s="15">
        <v>1.8981839441478356E-3</v>
      </c>
      <c r="B146" s="15">
        <v>0.33333333333333331</v>
      </c>
      <c r="C146" s="15">
        <v>-0.23134027431455068</v>
      </c>
      <c r="D146" s="15">
        <v>14.101716002718877</v>
      </c>
      <c r="E146" s="15">
        <v>0.77777777777777779</v>
      </c>
      <c r="F146">
        <f t="shared" si="6"/>
        <v>1.4763652898927609E-3</v>
      </c>
      <c r="G146">
        <f t="shared" si="7"/>
        <v>0.25925925925925924</v>
      </c>
      <c r="H146">
        <f t="shared" si="8"/>
        <v>-0.17993132446687274</v>
      </c>
    </row>
    <row r="147" spans="1:8" x14ac:dyDescent="0.25">
      <c r="A147" s="15">
        <v>1.9300723564986018E-3</v>
      </c>
      <c r="B147" s="15">
        <v>0.33333333333333331</v>
      </c>
      <c r="C147" s="15">
        <v>6.2078412799627516E-2</v>
      </c>
      <c r="D147" s="15">
        <v>17.042250103683752</v>
      </c>
      <c r="E147" s="15">
        <v>0.77777777777777779</v>
      </c>
      <c r="F147">
        <f t="shared" si="6"/>
        <v>1.5011673883878014E-3</v>
      </c>
      <c r="G147">
        <f t="shared" si="7"/>
        <v>0.25925925925925924</v>
      </c>
      <c r="H147">
        <f t="shared" si="8"/>
        <v>4.8283209955265846E-2</v>
      </c>
    </row>
    <row r="148" spans="1:8" x14ac:dyDescent="0.25">
      <c r="A148" s="15">
        <v>2.8185346840825269E-3</v>
      </c>
      <c r="B148" s="15">
        <v>0.33333333333333331</v>
      </c>
      <c r="C148" s="15">
        <v>-1.361504188086194E-2</v>
      </c>
      <c r="D148" s="15">
        <v>17.621756763334346</v>
      </c>
      <c r="E148" s="15">
        <v>0.77777777777777779</v>
      </c>
      <c r="F148">
        <f t="shared" si="6"/>
        <v>2.1921936431752989E-3</v>
      </c>
      <c r="G148">
        <f t="shared" si="7"/>
        <v>0.25925925925925924</v>
      </c>
      <c r="H148">
        <f t="shared" si="8"/>
        <v>-1.0589477018448175E-2</v>
      </c>
    </row>
    <row r="149" spans="1:8" x14ac:dyDescent="0.25">
      <c r="A149" s="15">
        <v>0.52938313074960608</v>
      </c>
      <c r="B149" s="15">
        <v>0.33333333333333331</v>
      </c>
      <c r="C149" s="15">
        <v>0.32580922860372274</v>
      </c>
      <c r="D149" s="15">
        <v>1.0253525109045649</v>
      </c>
      <c r="E149" s="15">
        <v>0.61538461538461542</v>
      </c>
      <c r="F149">
        <f t="shared" si="6"/>
        <v>0.32577423430744989</v>
      </c>
      <c r="G149">
        <f t="shared" si="7"/>
        <v>0.20512820512820512</v>
      </c>
      <c r="H149">
        <f t="shared" si="8"/>
        <v>0.20049798683306017</v>
      </c>
    </row>
    <row r="150" spans="1:8" x14ac:dyDescent="0.25">
      <c r="A150" s="15">
        <v>0.49214235799113454</v>
      </c>
      <c r="B150" s="15">
        <v>0.33333333333333331</v>
      </c>
      <c r="C150" s="15">
        <v>0.14123077308136708</v>
      </c>
      <c r="D150" s="15">
        <v>1.2267080793434935</v>
      </c>
      <c r="E150" s="15">
        <v>0.61538461538461542</v>
      </c>
      <c r="F150">
        <f t="shared" si="6"/>
        <v>0.30285683568685207</v>
      </c>
      <c r="G150">
        <f t="shared" si="7"/>
        <v>0.20512820512820512</v>
      </c>
      <c r="H150">
        <f t="shared" si="8"/>
        <v>8.6911244973148977E-2</v>
      </c>
    </row>
    <row r="151" spans="1:8" x14ac:dyDescent="0.25">
      <c r="A151" s="15">
        <v>0.48305185905597298</v>
      </c>
      <c r="B151" s="15">
        <v>0.33333333333333331</v>
      </c>
      <c r="C151" s="15">
        <v>0.20236058012488156</v>
      </c>
      <c r="D151" s="15">
        <v>1.2818921705586441</v>
      </c>
      <c r="E151" s="15">
        <v>0.61538461538461542</v>
      </c>
      <c r="F151">
        <f t="shared" si="6"/>
        <v>0.29726268249598337</v>
      </c>
      <c r="G151">
        <f t="shared" si="7"/>
        <v>0.20512820512820512</v>
      </c>
      <c r="H151">
        <f t="shared" si="8"/>
        <v>0.12452958776915789</v>
      </c>
    </row>
    <row r="152" spans="1:8" x14ac:dyDescent="0.25">
      <c r="A152" s="15">
        <v>3.948494044684434E-4</v>
      </c>
      <c r="B152" s="15">
        <v>0.33333333333333331</v>
      </c>
      <c r="C152" s="15">
        <v>5.417620067263984E-3</v>
      </c>
      <c r="D152" s="15">
        <v>21.153812015880984</v>
      </c>
      <c r="E152" s="15">
        <v>0.6495726495726496</v>
      </c>
      <c r="F152">
        <f t="shared" si="6"/>
        <v>2.5648337384274957E-4</v>
      </c>
      <c r="G152">
        <f t="shared" si="7"/>
        <v>0.21652421652421652</v>
      </c>
      <c r="H152">
        <f t="shared" si="8"/>
        <v>3.5191378214706223E-3</v>
      </c>
    </row>
    <row r="153" spans="1:8" x14ac:dyDescent="0.25">
      <c r="A153" s="15">
        <v>3.9484768448723163E-4</v>
      </c>
      <c r="B153" s="15">
        <v>0.33333333333333331</v>
      </c>
      <c r="C153" s="15">
        <v>0.15081867875831415</v>
      </c>
      <c r="D153" s="15">
        <v>18.26622322891459</v>
      </c>
      <c r="E153" s="15">
        <v>0.6495726495726496</v>
      </c>
      <c r="F153">
        <f t="shared" si="6"/>
        <v>2.5648225658999663E-4</v>
      </c>
      <c r="G153">
        <f t="shared" si="7"/>
        <v>0.21652421652421652</v>
      </c>
      <c r="H153">
        <f t="shared" si="8"/>
        <v>9.7967688766084401E-2</v>
      </c>
    </row>
    <row r="154" spans="1:8" x14ac:dyDescent="0.25">
      <c r="A154" s="15">
        <v>5.2372253442624632E-4</v>
      </c>
      <c r="B154" s="15">
        <v>0.33333333333333331</v>
      </c>
      <c r="C154" s="15">
        <v>0.15211932874539699</v>
      </c>
      <c r="D154" s="15">
        <v>11.708320841745666</v>
      </c>
      <c r="E154" s="15">
        <v>0.6495726495726496</v>
      </c>
      <c r="F154">
        <f t="shared" si="6"/>
        <v>3.4019583432816E-4</v>
      </c>
      <c r="G154">
        <f t="shared" si="7"/>
        <v>0.21652421652421652</v>
      </c>
      <c r="H154">
        <f t="shared" si="8"/>
        <v>9.8812555424360446E-2</v>
      </c>
    </row>
    <row r="155" spans="1:8" x14ac:dyDescent="0.25">
      <c r="A155" s="15">
        <v>1.0765019848784975E-2</v>
      </c>
      <c r="B155" s="15">
        <v>0.5</v>
      </c>
      <c r="C155" s="15">
        <v>5.2901880577058559E-2</v>
      </c>
      <c r="D155" s="15">
        <v>21.215889426771913</v>
      </c>
      <c r="E155" s="15">
        <v>0.66666666666666663</v>
      </c>
      <c r="F155">
        <f t="shared" si="6"/>
        <v>7.1766798991899829E-3</v>
      </c>
      <c r="G155">
        <f t="shared" si="7"/>
        <v>0.33333333333333331</v>
      </c>
      <c r="H155">
        <f t="shared" si="8"/>
        <v>3.5267920384705706E-2</v>
      </c>
    </row>
    <row r="156" spans="1:8" x14ac:dyDescent="0.25">
      <c r="A156" s="15">
        <v>1.2248155633747076E-2</v>
      </c>
      <c r="B156" s="15">
        <v>0.5</v>
      </c>
      <c r="C156" s="15">
        <v>0.16322939599017808</v>
      </c>
      <c r="D156" s="15">
        <v>22.550873941210757</v>
      </c>
      <c r="E156" s="15">
        <v>0.66666666666666663</v>
      </c>
      <c r="F156">
        <f t="shared" si="6"/>
        <v>8.1654370891647166E-3</v>
      </c>
      <c r="G156">
        <f t="shared" si="7"/>
        <v>0.33333333333333331</v>
      </c>
      <c r="H156">
        <f t="shared" si="8"/>
        <v>0.10881959732678538</v>
      </c>
    </row>
    <row r="157" spans="1:8" x14ac:dyDescent="0.25">
      <c r="A157" s="15">
        <v>1.635815872301636E-2</v>
      </c>
      <c r="B157" s="15">
        <v>0.5</v>
      </c>
      <c r="C157" s="15">
        <v>0.16793986156570284</v>
      </c>
      <c r="D157" s="15">
        <v>17.137246749921363</v>
      </c>
      <c r="E157" s="15">
        <v>0.66666666666666663</v>
      </c>
      <c r="F157">
        <f t="shared" si="6"/>
        <v>1.0905439148677573E-2</v>
      </c>
      <c r="G157">
        <f t="shared" si="7"/>
        <v>0.33333333333333331</v>
      </c>
      <c r="H157">
        <f t="shared" si="8"/>
        <v>0.11195990771046856</v>
      </c>
    </row>
    <row r="158" spans="1:8" x14ac:dyDescent="0.25">
      <c r="A158" s="15">
        <v>1.2598641637365281E-2</v>
      </c>
      <c r="B158" s="15">
        <v>0.33333333333333331</v>
      </c>
      <c r="C158" s="15">
        <v>-0.16604649404002131</v>
      </c>
      <c r="D158" s="15">
        <v>3.2882056040836405</v>
      </c>
      <c r="E158" s="15">
        <v>0.87179487179487181</v>
      </c>
      <c r="F158">
        <f t="shared" si="6"/>
        <v>1.0983431171036399E-2</v>
      </c>
      <c r="G158">
        <f t="shared" si="7"/>
        <v>0.29059829059829057</v>
      </c>
      <c r="H158">
        <f t="shared" si="8"/>
        <v>-0.14475848198360833</v>
      </c>
    </row>
    <row r="159" spans="1:8" x14ac:dyDescent="0.25">
      <c r="A159" s="15">
        <v>1.1331911693502695E-2</v>
      </c>
      <c r="B159" s="15">
        <v>0.33333333333333331</v>
      </c>
      <c r="C159" s="15">
        <v>-8.8198143471666657E-3</v>
      </c>
      <c r="D159" s="15">
        <v>3.6252297256065109</v>
      </c>
      <c r="E159" s="15">
        <v>0.87179487179487181</v>
      </c>
      <c r="F159">
        <f t="shared" si="6"/>
        <v>9.8791025020279911E-3</v>
      </c>
      <c r="G159">
        <f t="shared" si="7"/>
        <v>0.29059829059829057</v>
      </c>
      <c r="H159">
        <f t="shared" si="8"/>
        <v>-7.6890689180427341E-3</v>
      </c>
    </row>
    <row r="160" spans="1:8" x14ac:dyDescent="0.25">
      <c r="A160" s="15">
        <v>7.7973814975225595E-3</v>
      </c>
      <c r="B160" s="15">
        <v>0.5</v>
      </c>
      <c r="C160" s="15">
        <v>4.4870430836536954E-2</v>
      </c>
      <c r="D160" s="15">
        <v>5.2583985540550158</v>
      </c>
      <c r="E160" s="15">
        <v>0.87179487179487181</v>
      </c>
      <c r="F160">
        <f t="shared" si="6"/>
        <v>6.7977172029683852E-3</v>
      </c>
      <c r="G160">
        <f t="shared" si="7"/>
        <v>0.4358974358974359</v>
      </c>
      <c r="H160">
        <f t="shared" si="8"/>
        <v>3.9117811498519395E-2</v>
      </c>
    </row>
    <row r="161" spans="1:8" x14ac:dyDescent="0.25">
      <c r="A161" s="15">
        <v>1.1764246072070664E-2</v>
      </c>
      <c r="B161" s="15">
        <v>0.4</v>
      </c>
      <c r="C161" s="15">
        <v>-3.4567268770531644E-2</v>
      </c>
      <c r="D161" s="15">
        <v>6.9657592612255019</v>
      </c>
      <c r="E161" s="15">
        <v>0.72649572649572647</v>
      </c>
      <c r="F161">
        <f t="shared" si="6"/>
        <v>8.546674496803474E-3</v>
      </c>
      <c r="G161">
        <f t="shared" si="7"/>
        <v>0.29059829059829062</v>
      </c>
      <c r="H161">
        <f t="shared" si="8"/>
        <v>-2.5112973038420423E-2</v>
      </c>
    </row>
    <row r="162" spans="1:8" x14ac:dyDescent="0.25">
      <c r="A162" s="15">
        <v>7.4839188520534391E-3</v>
      </c>
      <c r="B162" s="15">
        <v>0.4</v>
      </c>
      <c r="C162" s="15">
        <v>1.0607120396611814E-2</v>
      </c>
      <c r="D162" s="15">
        <v>9.7798919421142667</v>
      </c>
      <c r="E162" s="15">
        <v>0.72649572649572647</v>
      </c>
      <c r="F162">
        <f t="shared" si="6"/>
        <v>5.4370350634576261E-3</v>
      </c>
      <c r="G162">
        <f t="shared" si="7"/>
        <v>0.29059829059829062</v>
      </c>
      <c r="H162">
        <f t="shared" si="8"/>
        <v>7.706027638564138E-3</v>
      </c>
    </row>
    <row r="163" spans="1:8" x14ac:dyDescent="0.25">
      <c r="A163" s="15">
        <v>6.8313071616368168E-3</v>
      </c>
      <c r="B163" s="15">
        <v>0.4</v>
      </c>
      <c r="C163" s="15">
        <v>6.2511615133910681E-2</v>
      </c>
      <c r="D163" s="15">
        <v>9.9849891962600879</v>
      </c>
      <c r="E163" s="15">
        <v>0.72649572649572647</v>
      </c>
      <c r="F163">
        <f t="shared" si="6"/>
        <v>4.9629154593087985E-3</v>
      </c>
      <c r="G163">
        <f t="shared" si="7"/>
        <v>0.29059829059829062</v>
      </c>
      <c r="H163">
        <f t="shared" si="8"/>
        <v>4.5414421251131688E-2</v>
      </c>
    </row>
    <row r="164" spans="1:8" x14ac:dyDescent="0.25">
      <c r="A164" s="15">
        <v>7.289649289062177E-4</v>
      </c>
      <c r="B164" s="15">
        <v>0.4</v>
      </c>
      <c r="C164" s="15">
        <v>9.1603944306609258E-3</v>
      </c>
      <c r="D164" s="15">
        <v>3.9996685336236091</v>
      </c>
      <c r="E164" s="15">
        <v>0.47008547008547008</v>
      </c>
      <c r="F164">
        <f t="shared" si="6"/>
        <v>3.4267582128070064E-4</v>
      </c>
      <c r="G164">
        <f t="shared" si="7"/>
        <v>0.18803418803418803</v>
      </c>
      <c r="H164">
        <f t="shared" si="8"/>
        <v>4.3061683221055636E-3</v>
      </c>
    </row>
    <row r="165" spans="1:8" x14ac:dyDescent="0.25">
      <c r="A165" s="15">
        <v>7.862889695848961E-4</v>
      </c>
      <c r="B165" s="15">
        <v>0.4</v>
      </c>
      <c r="C165" s="15">
        <v>5.1014088991565162E-2</v>
      </c>
      <c r="D165" s="15">
        <v>3.881660793133364</v>
      </c>
      <c r="E165" s="15">
        <v>0.47008547008547008</v>
      </c>
      <c r="F165">
        <f t="shared" si="6"/>
        <v>3.6962301989033577E-4</v>
      </c>
      <c r="G165">
        <f t="shared" si="7"/>
        <v>0.18803418803418803</v>
      </c>
      <c r="H165">
        <f t="shared" si="8"/>
        <v>2.3980982004581913E-2</v>
      </c>
    </row>
    <row r="166" spans="1:8" x14ac:dyDescent="0.25">
      <c r="A166" s="15">
        <v>4.56637478080185E-3</v>
      </c>
      <c r="B166" s="15">
        <v>0.4</v>
      </c>
      <c r="C166" s="15">
        <v>6.7809952311874644E-2</v>
      </c>
      <c r="D166" s="15">
        <v>1.7518697126924752</v>
      </c>
      <c r="E166" s="15">
        <v>0.47008547008547008</v>
      </c>
      <c r="F166">
        <f t="shared" si="6"/>
        <v>2.1465864354196732E-3</v>
      </c>
      <c r="G166">
        <f t="shared" si="7"/>
        <v>0.18803418803418803</v>
      </c>
      <c r="H166">
        <f t="shared" si="8"/>
        <v>3.1876473309000904E-2</v>
      </c>
    </row>
    <row r="167" spans="1:8" x14ac:dyDescent="0.25">
      <c r="A167" s="15">
        <v>2.6712566841260733E-4</v>
      </c>
      <c r="B167" s="15">
        <v>0.5</v>
      </c>
      <c r="C167" s="15">
        <v>2.7368069115697398E-2</v>
      </c>
      <c r="D167" s="15">
        <v>6.599056097006363</v>
      </c>
      <c r="E167" s="15">
        <v>0.49572649572649574</v>
      </c>
      <c r="F167">
        <f t="shared" si="6"/>
        <v>1.3242127152077971E-4</v>
      </c>
      <c r="G167">
        <f t="shared" si="7"/>
        <v>0.24786324786324787</v>
      </c>
      <c r="H167">
        <f t="shared" si="8"/>
        <v>1.3567076997525206E-2</v>
      </c>
    </row>
    <row r="168" spans="1:8" x14ac:dyDescent="0.25">
      <c r="A168" s="15">
        <v>2.0591262036073212E-3</v>
      </c>
      <c r="B168" s="15">
        <v>0.33333333333333331</v>
      </c>
      <c r="C168" s="15">
        <v>8.5221540965988357E-2</v>
      </c>
      <c r="D168" s="15">
        <v>9.0963249613133659</v>
      </c>
      <c r="E168" s="15">
        <v>0.49572649572649574</v>
      </c>
      <c r="F168">
        <f t="shared" si="6"/>
        <v>1.0207634171728601E-3</v>
      </c>
      <c r="G168">
        <f t="shared" si="7"/>
        <v>0.16524216524216523</v>
      </c>
      <c r="H168">
        <f t="shared" si="8"/>
        <v>4.2246575863481406E-2</v>
      </c>
    </row>
    <row r="169" spans="1:8" x14ac:dyDescent="0.25">
      <c r="A169" s="15">
        <v>1.1979250026775592E-3</v>
      </c>
      <c r="B169" s="15">
        <v>0.5</v>
      </c>
      <c r="C169" s="15">
        <v>4.9727534521755073E-2</v>
      </c>
      <c r="D169" s="15">
        <v>12.247370041271175</v>
      </c>
      <c r="E169" s="15">
        <v>0.49572649572649574</v>
      </c>
      <c r="F169">
        <f t="shared" si="6"/>
        <v>5.9384316372049944E-4</v>
      </c>
      <c r="G169">
        <f t="shared" si="7"/>
        <v>0.24786324786324787</v>
      </c>
      <c r="H169">
        <f t="shared" si="8"/>
        <v>2.4651256429587987E-2</v>
      </c>
    </row>
    <row r="170" spans="1:8" x14ac:dyDescent="0.25">
      <c r="A170" s="15">
        <v>2.1589658922626001E-2</v>
      </c>
      <c r="B170" s="15">
        <v>0.33333333333333331</v>
      </c>
      <c r="C170" s="15">
        <v>0.1326449319160643</v>
      </c>
      <c r="D170" s="15">
        <v>7.3953442434250878</v>
      </c>
      <c r="E170" s="15">
        <v>0.58974358974358976</v>
      </c>
      <c r="F170">
        <f t="shared" si="6"/>
        <v>1.273236295436918E-2</v>
      </c>
      <c r="G170">
        <f t="shared" si="7"/>
        <v>0.19658119658119658</v>
      </c>
      <c r="H170">
        <f t="shared" si="8"/>
        <v>7.8226498309473827E-2</v>
      </c>
    </row>
    <row r="171" spans="1:8" x14ac:dyDescent="0.25">
      <c r="A171" s="15">
        <v>1.7971024614642454E-2</v>
      </c>
      <c r="B171" s="15">
        <v>0.33333333333333331</v>
      </c>
      <c r="C171" s="15">
        <v>-2.7590515610509458E-2</v>
      </c>
      <c r="D171" s="15">
        <v>6.6161510730268009</v>
      </c>
      <c r="E171" s="15">
        <v>0.58974358974358976</v>
      </c>
      <c r="F171">
        <f t="shared" si="6"/>
        <v>1.0598296567609652E-2</v>
      </c>
      <c r="G171">
        <f t="shared" si="7"/>
        <v>0.19658119658119658</v>
      </c>
      <c r="H171">
        <f t="shared" si="8"/>
        <v>-1.6271329719018398E-2</v>
      </c>
    </row>
    <row r="172" spans="1:8" x14ac:dyDescent="0.25">
      <c r="A172" s="15">
        <v>2.3236384034870067E-2</v>
      </c>
      <c r="B172" s="15">
        <v>0.33333333333333331</v>
      </c>
      <c r="C172" s="15">
        <v>-1.8445428355413657E-2</v>
      </c>
      <c r="D172" s="15">
        <v>7.9414492956046274</v>
      </c>
      <c r="E172" s="15">
        <v>0.58974358974358976</v>
      </c>
      <c r="F172">
        <f t="shared" si="6"/>
        <v>1.3703508533384912E-2</v>
      </c>
      <c r="G172">
        <f t="shared" si="7"/>
        <v>0.19658119658119658</v>
      </c>
      <c r="H172">
        <f t="shared" si="8"/>
        <v>-1.0878073132679848E-2</v>
      </c>
    </row>
    <row r="173" spans="1:8" x14ac:dyDescent="0.25">
      <c r="A173" s="15">
        <v>1.8344583335393495E-3</v>
      </c>
      <c r="B173" s="15">
        <v>0.4</v>
      </c>
      <c r="C173" s="15">
        <v>5.1391229582738493E-2</v>
      </c>
      <c r="D173" s="15">
        <v>4.8430273510266204</v>
      </c>
      <c r="E173" s="15">
        <v>0.48717948717948717</v>
      </c>
      <c r="F173">
        <f t="shared" si="6"/>
        <v>8.9371047018583691E-4</v>
      </c>
      <c r="G173">
        <f t="shared" si="7"/>
        <v>0.19487179487179487</v>
      </c>
      <c r="H173">
        <f t="shared" si="8"/>
        <v>2.5036752873641828E-2</v>
      </c>
    </row>
    <row r="174" spans="1:8" x14ac:dyDescent="0.25">
      <c r="A174" s="15">
        <v>8.7740433017600061E-4</v>
      </c>
      <c r="B174" s="15">
        <v>0.4</v>
      </c>
      <c r="C174" s="15">
        <v>3.3843250625066677E-2</v>
      </c>
      <c r="D174" s="15">
        <v>9.4830075453734253</v>
      </c>
      <c r="E174" s="15">
        <v>0.48717948717948717</v>
      </c>
      <c r="F174">
        <f t="shared" si="6"/>
        <v>4.274533916242054E-4</v>
      </c>
      <c r="G174">
        <f t="shared" si="7"/>
        <v>0.19487179487179487</v>
      </c>
      <c r="H174">
        <f t="shared" si="8"/>
        <v>1.6487737484006844E-2</v>
      </c>
    </row>
    <row r="175" spans="1:8" x14ac:dyDescent="0.25">
      <c r="A175" s="15">
        <v>1.4322892294510023E-3</v>
      </c>
      <c r="B175" s="15">
        <v>0.4</v>
      </c>
      <c r="C175" s="15">
        <v>3.6041044171651951E-2</v>
      </c>
      <c r="D175" s="15">
        <v>7.2713165842967955</v>
      </c>
      <c r="E175" s="15">
        <v>0.48717948717948717</v>
      </c>
      <c r="F175">
        <f t="shared" si="6"/>
        <v>6.9778193229664209E-4</v>
      </c>
      <c r="G175">
        <f t="shared" si="7"/>
        <v>0.19487179487179487</v>
      </c>
      <c r="H175">
        <f t="shared" si="8"/>
        <v>1.7558457416958641E-2</v>
      </c>
    </row>
    <row r="176" spans="1:8" x14ac:dyDescent="0.25">
      <c r="A176" s="15">
        <v>1.9833588276011529E-2</v>
      </c>
      <c r="B176" s="15">
        <v>0.33333333333333331</v>
      </c>
      <c r="C176" s="15">
        <v>-0.11796553177548112</v>
      </c>
      <c r="D176" s="15">
        <v>9.4244307078176988</v>
      </c>
      <c r="E176" s="15">
        <v>0.42735042735042733</v>
      </c>
      <c r="F176">
        <f t="shared" si="6"/>
        <v>8.4758924256459513E-3</v>
      </c>
      <c r="G176">
        <f t="shared" si="7"/>
        <v>0.14245014245014243</v>
      </c>
      <c r="H176">
        <f t="shared" si="8"/>
        <v>-5.0412620416872271E-2</v>
      </c>
    </row>
    <row r="177" spans="1:8" x14ac:dyDescent="0.25">
      <c r="A177" s="15">
        <v>9.9875300479397092E-3</v>
      </c>
      <c r="B177" s="15">
        <v>0.33333333333333331</v>
      </c>
      <c r="C177" s="15">
        <v>-0.12139506712232674</v>
      </c>
      <c r="D177" s="15">
        <v>16.368140911808251</v>
      </c>
      <c r="E177" s="15">
        <v>0.42735042735042733</v>
      </c>
      <c r="F177">
        <f t="shared" si="6"/>
        <v>4.2681752341622685E-3</v>
      </c>
      <c r="G177">
        <f t="shared" si="7"/>
        <v>0.14245014245014243</v>
      </c>
      <c r="H177">
        <f t="shared" si="8"/>
        <v>-5.1878233812960146E-2</v>
      </c>
    </row>
    <row r="178" spans="1:8" x14ac:dyDescent="0.25">
      <c r="A178" s="15">
        <v>1.3531798506432146E-2</v>
      </c>
      <c r="B178" s="15">
        <v>0.33333333333333331</v>
      </c>
      <c r="C178" s="15">
        <v>3.2134385052714098E-2</v>
      </c>
      <c r="D178" s="15">
        <v>14.367556787375779</v>
      </c>
      <c r="E178" s="15">
        <v>0.42735042735042733</v>
      </c>
      <c r="F178">
        <f t="shared" si="6"/>
        <v>5.7828198745436517E-3</v>
      </c>
      <c r="G178">
        <f t="shared" si="7"/>
        <v>0.14245014245014243</v>
      </c>
      <c r="H178">
        <f t="shared" si="8"/>
        <v>1.3732643184920554E-2</v>
      </c>
    </row>
    <row r="179" spans="1:8" x14ac:dyDescent="0.25">
      <c r="A179" s="15">
        <v>2.5763761370449757E-2</v>
      </c>
      <c r="B179" s="15">
        <v>0.33333333333333331</v>
      </c>
      <c r="C179" s="15">
        <v>1.839094796991271E-3</v>
      </c>
      <c r="D179" s="15">
        <v>7.1189218394064238</v>
      </c>
      <c r="E179" s="15">
        <v>0.46153846153846156</v>
      </c>
      <c r="F179">
        <f t="shared" si="6"/>
        <v>1.1890966786361427E-2</v>
      </c>
      <c r="G179">
        <f t="shared" si="7"/>
        <v>0.15384615384615385</v>
      </c>
      <c r="H179">
        <f t="shared" si="8"/>
        <v>8.4881298322674048E-4</v>
      </c>
    </row>
    <row r="180" spans="1:8" x14ac:dyDescent="0.25">
      <c r="A180" s="15">
        <v>3.2642010468634741E-2</v>
      </c>
      <c r="B180" s="15">
        <v>0.33333333333333331</v>
      </c>
      <c r="C180" s="15">
        <v>7.1959167213601377E-2</v>
      </c>
      <c r="D180" s="15">
        <v>7.2218760835068299</v>
      </c>
      <c r="E180" s="15">
        <v>0.46153846153846156</v>
      </c>
      <c r="F180">
        <f t="shared" si="6"/>
        <v>1.5065543293216035E-2</v>
      </c>
      <c r="G180">
        <f t="shared" si="7"/>
        <v>0.15384615384615385</v>
      </c>
      <c r="H180">
        <f t="shared" si="8"/>
        <v>3.3211923329354485E-2</v>
      </c>
    </row>
    <row r="181" spans="1:8" x14ac:dyDescent="0.25">
      <c r="A181" s="15">
        <v>2.5906695944547579E-2</v>
      </c>
      <c r="B181" s="15">
        <v>0.33333333333333331</v>
      </c>
      <c r="C181" s="15">
        <v>8.7300647248274396E-2</v>
      </c>
      <c r="D181" s="15">
        <v>8.4923036903723705</v>
      </c>
      <c r="E181" s="15">
        <v>0.46153846153846156</v>
      </c>
      <c r="F181">
        <f t="shared" si="6"/>
        <v>1.1956936589791191E-2</v>
      </c>
      <c r="G181">
        <f t="shared" si="7"/>
        <v>0.15384615384615385</v>
      </c>
      <c r="H181">
        <f t="shared" si="8"/>
        <v>4.029260642228049E-2</v>
      </c>
    </row>
    <row r="182" spans="1:8" x14ac:dyDescent="0.25">
      <c r="A182" s="15">
        <v>9.9164775466673336E-2</v>
      </c>
      <c r="B182" s="15">
        <v>0.33333333333333331</v>
      </c>
      <c r="C182" s="15">
        <v>6.1524850623588159E-2</v>
      </c>
      <c r="D182" s="15">
        <v>0.74286913293705248</v>
      </c>
      <c r="E182" s="15">
        <v>0.5213675213675214</v>
      </c>
      <c r="F182">
        <f t="shared" si="6"/>
        <v>5.1701293192026272E-2</v>
      </c>
      <c r="G182">
        <f t="shared" si="7"/>
        <v>0.1737891737891738</v>
      </c>
      <c r="H182">
        <f t="shared" si="8"/>
        <v>3.2077058872127161E-2</v>
      </c>
    </row>
    <row r="183" spans="1:8" x14ac:dyDescent="0.25">
      <c r="A183" s="15">
        <v>8.7100685204804434E-2</v>
      </c>
      <c r="B183" s="15">
        <v>0.33333333333333331</v>
      </c>
      <c r="C183" s="15">
        <v>1.1095608722723235E-2</v>
      </c>
      <c r="D183" s="15">
        <v>1.271382235043178</v>
      </c>
      <c r="E183" s="15">
        <v>0.5213675213675214</v>
      </c>
      <c r="F183">
        <f t="shared" si="6"/>
        <v>4.5411468354641632E-2</v>
      </c>
      <c r="G183">
        <f t="shared" si="7"/>
        <v>0.1737891737891738</v>
      </c>
      <c r="H183">
        <f t="shared" si="8"/>
        <v>5.7848900178300629E-3</v>
      </c>
    </row>
    <row r="184" spans="1:8" x14ac:dyDescent="0.25">
      <c r="A184" s="15">
        <v>4.063741733349116E-2</v>
      </c>
      <c r="B184" s="15">
        <v>0.33333333333333331</v>
      </c>
      <c r="C184" s="15">
        <v>6.4647019061534972E-2</v>
      </c>
      <c r="D184" s="15">
        <v>2.2433849532861041</v>
      </c>
      <c r="E184" s="15">
        <v>0.5213675213675214</v>
      </c>
      <c r="F184">
        <f t="shared" si="6"/>
        <v>2.1187029549939836E-2</v>
      </c>
      <c r="G184">
        <f t="shared" si="7"/>
        <v>0.1737891737891738</v>
      </c>
      <c r="H184">
        <f t="shared" si="8"/>
        <v>3.37048560919114E-2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B1D20-8471-48D1-A574-D6DBB786FEB1}">
  <dimension ref="A1:E184"/>
  <sheetViews>
    <sheetView workbookViewId="0">
      <selection activeCell="G1255" sqref="G1255"/>
    </sheetView>
  </sheetViews>
  <sheetFormatPr defaultRowHeight="15" x14ac:dyDescent="0.25"/>
  <cols>
    <col min="3" max="3" width="22.7109375" style="3" customWidth="1"/>
    <col min="4" max="4" width="26.42578125" customWidth="1"/>
    <col min="5" max="5" width="28.140625" style="15" customWidth="1"/>
  </cols>
  <sheetData>
    <row r="1" spans="1:5" x14ac:dyDescent="0.25">
      <c r="A1" s="1" t="s">
        <v>0</v>
      </c>
      <c r="B1" s="12" t="s">
        <v>1</v>
      </c>
      <c r="C1" s="43" t="s">
        <v>107</v>
      </c>
      <c r="D1" s="44" t="s">
        <v>108</v>
      </c>
      <c r="E1" s="45" t="s">
        <v>109</v>
      </c>
    </row>
    <row r="2" spans="1:5" x14ac:dyDescent="0.25">
      <c r="A2" s="1" t="s">
        <v>2</v>
      </c>
      <c r="B2" s="12">
        <v>2021</v>
      </c>
      <c r="C2" s="3">
        <v>930123000</v>
      </c>
      <c r="D2" s="31">
        <v>178048508091</v>
      </c>
      <c r="E2" s="15">
        <f t="shared" ref="E2:E63" si="0">C2/D2</f>
        <v>5.2239864853268932E-3</v>
      </c>
    </row>
    <row r="3" spans="1:5" x14ac:dyDescent="0.25">
      <c r="A3" s="1"/>
      <c r="B3" s="12">
        <v>2022</v>
      </c>
      <c r="C3" s="3">
        <v>960000000</v>
      </c>
      <c r="D3" s="31">
        <v>374509110044</v>
      </c>
      <c r="E3" s="15">
        <f t="shared" si="0"/>
        <v>2.5633555346282829E-3</v>
      </c>
    </row>
    <row r="4" spans="1:5" x14ac:dyDescent="0.25">
      <c r="A4" s="1"/>
      <c r="B4" s="12">
        <v>2023</v>
      </c>
      <c r="C4" s="3">
        <v>969840000</v>
      </c>
      <c r="D4" s="31">
        <v>174691961974</v>
      </c>
      <c r="E4" s="15">
        <f t="shared" si="0"/>
        <v>5.5517150820273264E-3</v>
      </c>
    </row>
    <row r="5" spans="1:5" x14ac:dyDescent="0.25">
      <c r="A5" s="1" t="s">
        <v>3</v>
      </c>
      <c r="B5" s="12">
        <v>2021</v>
      </c>
      <c r="C5" s="3">
        <v>4031084233</v>
      </c>
      <c r="D5" s="31">
        <v>568345150593</v>
      </c>
      <c r="E5" s="15">
        <f t="shared" si="0"/>
        <v>7.0926693555738917E-3</v>
      </c>
    </row>
    <row r="6" spans="1:5" x14ac:dyDescent="0.25">
      <c r="A6" s="1"/>
      <c r="B6" s="12">
        <v>2022</v>
      </c>
      <c r="C6" s="3">
        <v>4895412397</v>
      </c>
      <c r="D6" s="31">
        <v>744820930786</v>
      </c>
      <c r="E6" s="15">
        <f t="shared" si="0"/>
        <v>6.5726031515171493E-3</v>
      </c>
    </row>
    <row r="7" spans="1:5" x14ac:dyDescent="0.25">
      <c r="A7" s="1"/>
      <c r="B7" s="12">
        <v>2023</v>
      </c>
      <c r="C7" s="3">
        <v>3254626911</v>
      </c>
      <c r="D7" s="31">
        <v>718604782391</v>
      </c>
      <c r="E7" s="15">
        <f t="shared" si="0"/>
        <v>4.5290916380641691E-3</v>
      </c>
    </row>
    <row r="8" spans="1:5" x14ac:dyDescent="0.25">
      <c r="A8" s="1" t="s">
        <v>4</v>
      </c>
      <c r="B8" s="12">
        <v>2021</v>
      </c>
      <c r="C8" s="3">
        <v>745787000</v>
      </c>
      <c r="D8" s="31">
        <v>104034299846</v>
      </c>
      <c r="E8" s="15">
        <f t="shared" si="0"/>
        <v>7.1686645760482299E-3</v>
      </c>
    </row>
    <row r="9" spans="1:5" x14ac:dyDescent="0.25">
      <c r="A9" s="1"/>
      <c r="B9" s="12">
        <v>2022</v>
      </c>
      <c r="C9" s="3">
        <v>654700000</v>
      </c>
      <c r="D9" s="31">
        <v>102314374301</v>
      </c>
      <c r="E9" s="15">
        <f t="shared" si="0"/>
        <v>6.3989053783775236E-3</v>
      </c>
    </row>
    <row r="10" spans="1:5" x14ac:dyDescent="0.25">
      <c r="A10" s="1"/>
      <c r="B10" s="12">
        <v>2023</v>
      </c>
      <c r="C10" s="3">
        <v>876500000</v>
      </c>
      <c r="D10" s="31">
        <v>56643469840</v>
      </c>
      <c r="E10" s="15">
        <f t="shared" si="0"/>
        <v>1.5473981422321708E-2</v>
      </c>
    </row>
    <row r="11" spans="1:5" x14ac:dyDescent="0.25">
      <c r="A11" s="1" t="s">
        <v>5</v>
      </c>
      <c r="B11" s="12">
        <v>2021</v>
      </c>
      <c r="C11" s="3">
        <v>252812000000</v>
      </c>
      <c r="D11" s="31">
        <v>1788496000000</v>
      </c>
      <c r="E11" s="15">
        <f t="shared" si="0"/>
        <v>0.14135452357735215</v>
      </c>
    </row>
    <row r="12" spans="1:5" x14ac:dyDescent="0.25">
      <c r="A12" s="1"/>
      <c r="B12" s="12">
        <v>2022</v>
      </c>
      <c r="C12" s="3">
        <v>257637000000</v>
      </c>
      <c r="D12" s="31">
        <v>1842434000000</v>
      </c>
      <c r="E12" s="15">
        <f t="shared" si="0"/>
        <v>0.13983513113631207</v>
      </c>
    </row>
    <row r="13" spans="1:5" x14ac:dyDescent="0.25">
      <c r="A13" s="1"/>
      <c r="B13" s="12">
        <v>2023</v>
      </c>
      <c r="C13" s="3">
        <v>211584000000</v>
      </c>
      <c r="D13" s="31">
        <v>1950266000000</v>
      </c>
      <c r="E13" s="15">
        <f t="shared" si="0"/>
        <v>0.10848981626096132</v>
      </c>
    </row>
    <row r="14" spans="1:5" x14ac:dyDescent="0.25">
      <c r="A14" s="1" t="s">
        <v>6</v>
      </c>
      <c r="B14" s="12">
        <v>2021</v>
      </c>
      <c r="C14" s="3">
        <v>377012000</v>
      </c>
      <c r="D14" s="31">
        <v>486061000000</v>
      </c>
      <c r="E14" s="15">
        <f t="shared" si="0"/>
        <v>7.7564750103382085E-4</v>
      </c>
    </row>
    <row r="15" spans="1:5" x14ac:dyDescent="0.25">
      <c r="A15" s="1"/>
      <c r="B15" s="12">
        <v>2022</v>
      </c>
      <c r="C15" s="3">
        <v>573532000</v>
      </c>
      <c r="D15" s="31">
        <v>305849000000</v>
      </c>
      <c r="E15" s="15">
        <f t="shared" si="0"/>
        <v>1.8752129318716098E-3</v>
      </c>
    </row>
    <row r="16" spans="1:5" x14ac:dyDescent="0.25">
      <c r="A16" s="1"/>
      <c r="B16" s="12">
        <v>2023</v>
      </c>
      <c r="C16" s="3">
        <v>404817000</v>
      </c>
      <c r="D16" s="31">
        <v>498059000000</v>
      </c>
      <c r="E16" s="15">
        <f t="shared" si="0"/>
        <v>8.1278924786019327E-4</v>
      </c>
    </row>
    <row r="17" spans="1:5" x14ac:dyDescent="0.25">
      <c r="A17" s="1" t="s">
        <v>7</v>
      </c>
      <c r="B17" s="12">
        <v>2021</v>
      </c>
      <c r="C17" s="3">
        <v>3423000000</v>
      </c>
      <c r="D17" s="31">
        <v>305732000000</v>
      </c>
      <c r="E17" s="15">
        <f t="shared" si="0"/>
        <v>1.1196080227127026E-2</v>
      </c>
    </row>
    <row r="18" spans="1:5" x14ac:dyDescent="0.25">
      <c r="A18" s="1"/>
      <c r="B18" s="12">
        <v>2022</v>
      </c>
      <c r="C18" s="3">
        <v>3470000000</v>
      </c>
      <c r="D18" s="31">
        <v>340580000000</v>
      </c>
      <c r="E18" s="15">
        <f t="shared" si="0"/>
        <v>1.0188501967232368E-2</v>
      </c>
    </row>
    <row r="19" spans="1:5" x14ac:dyDescent="0.25">
      <c r="A19" s="1"/>
      <c r="B19" s="12">
        <v>2023</v>
      </c>
      <c r="C19" s="3">
        <v>3000000000</v>
      </c>
      <c r="D19" s="31">
        <v>167445000000</v>
      </c>
      <c r="E19" s="15">
        <f t="shared" si="0"/>
        <v>1.7916330735465377E-2</v>
      </c>
    </row>
    <row r="20" spans="1:5" x14ac:dyDescent="0.25">
      <c r="A20" s="1" t="s">
        <v>8</v>
      </c>
      <c r="B20" s="12">
        <v>2021</v>
      </c>
      <c r="C20" s="3">
        <v>7180000000</v>
      </c>
      <c r="D20" s="31">
        <v>46705891000</v>
      </c>
      <c r="E20" s="15">
        <f t="shared" si="0"/>
        <v>0.15372793123676839</v>
      </c>
    </row>
    <row r="21" spans="1:5" x14ac:dyDescent="0.25">
      <c r="A21" s="1"/>
      <c r="B21" s="12">
        <v>2022</v>
      </c>
      <c r="C21" s="3">
        <v>9180000000</v>
      </c>
      <c r="D21" s="31">
        <v>94827889000</v>
      </c>
      <c r="E21" s="15">
        <f t="shared" si="0"/>
        <v>9.6806963613837269E-2</v>
      </c>
    </row>
    <row r="22" spans="1:5" x14ac:dyDescent="0.25">
      <c r="A22" s="1"/>
      <c r="B22" s="12">
        <v>2023</v>
      </c>
      <c r="C22" s="3">
        <v>12140000000</v>
      </c>
      <c r="D22" s="31">
        <v>121572505000</v>
      </c>
      <c r="E22" s="15">
        <f t="shared" si="0"/>
        <v>9.9858105251676765E-2</v>
      </c>
    </row>
    <row r="23" spans="1:5" x14ac:dyDescent="0.25">
      <c r="A23" s="1" t="s">
        <v>9</v>
      </c>
      <c r="B23" s="12">
        <v>2021</v>
      </c>
      <c r="C23" s="3">
        <v>3483000000</v>
      </c>
      <c r="D23" s="31">
        <v>713344000000</v>
      </c>
      <c r="E23" s="15">
        <f t="shared" si="0"/>
        <v>4.882637268975417E-3</v>
      </c>
    </row>
    <row r="24" spans="1:5" x14ac:dyDescent="0.25">
      <c r="A24" s="1"/>
      <c r="B24" s="12">
        <v>2022</v>
      </c>
      <c r="C24" s="3">
        <v>5123000000</v>
      </c>
      <c r="D24" s="31">
        <v>839276000000</v>
      </c>
      <c r="E24" s="15">
        <f t="shared" si="0"/>
        <v>6.1040706513709438E-3</v>
      </c>
    </row>
    <row r="25" spans="1:5" x14ac:dyDescent="0.25">
      <c r="A25" s="1"/>
      <c r="B25" s="12">
        <v>2023</v>
      </c>
      <c r="C25" s="3">
        <v>7129000000</v>
      </c>
      <c r="D25" s="31">
        <v>894645000000</v>
      </c>
      <c r="E25" s="15">
        <f t="shared" si="0"/>
        <v>7.9685238278870384E-3</v>
      </c>
    </row>
    <row r="26" spans="1:5" x14ac:dyDescent="0.25">
      <c r="A26" s="1" t="s">
        <v>10</v>
      </c>
      <c r="B26" s="12">
        <v>2021</v>
      </c>
      <c r="C26" s="3">
        <v>50750000000</v>
      </c>
      <c r="D26" s="31">
        <v>2117236000000</v>
      </c>
      <c r="E26" s="15">
        <f t="shared" si="0"/>
        <v>2.3969930607641285E-2</v>
      </c>
    </row>
    <row r="27" spans="1:5" x14ac:dyDescent="0.25">
      <c r="A27" s="1"/>
      <c r="B27" s="12">
        <v>2022</v>
      </c>
      <c r="C27" s="3">
        <v>56700000000</v>
      </c>
      <c r="D27" s="31">
        <v>2499083000000</v>
      </c>
      <c r="E27" s="15">
        <f t="shared" si="0"/>
        <v>2.2688322076537672E-2</v>
      </c>
    </row>
    <row r="28" spans="1:5" x14ac:dyDescent="0.25">
      <c r="A28" s="1"/>
      <c r="B28" s="12">
        <v>2023</v>
      </c>
      <c r="C28" s="3">
        <v>71400000000</v>
      </c>
      <c r="D28" s="31">
        <v>2295601000000</v>
      </c>
      <c r="E28" s="15">
        <f t="shared" si="0"/>
        <v>3.1102966064224576E-2</v>
      </c>
    </row>
    <row r="29" spans="1:5" x14ac:dyDescent="0.25">
      <c r="A29" s="1" t="s">
        <v>11</v>
      </c>
      <c r="B29" s="12">
        <v>2021</v>
      </c>
      <c r="C29" s="3">
        <v>320400000</v>
      </c>
      <c r="D29" s="31">
        <v>294325560054</v>
      </c>
      <c r="E29" s="15">
        <f t="shared" si="0"/>
        <v>1.0885904708419348E-3</v>
      </c>
    </row>
    <row r="30" spans="1:5" x14ac:dyDescent="0.25">
      <c r="A30" s="1"/>
      <c r="B30" s="12">
        <v>2022</v>
      </c>
      <c r="C30" s="3">
        <v>571300000</v>
      </c>
      <c r="D30" s="31">
        <v>336138349494</v>
      </c>
      <c r="E30" s="15">
        <f t="shared" si="0"/>
        <v>1.699597802095466E-3</v>
      </c>
    </row>
    <row r="31" spans="1:5" x14ac:dyDescent="0.25">
      <c r="A31" s="1"/>
      <c r="B31" s="12">
        <v>2023</v>
      </c>
      <c r="C31" s="3">
        <v>693000000</v>
      </c>
      <c r="D31" s="31">
        <v>178658341906</v>
      </c>
      <c r="E31" s="15">
        <f t="shared" si="0"/>
        <v>3.878912076574727E-3</v>
      </c>
    </row>
    <row r="32" spans="1:5" x14ac:dyDescent="0.25">
      <c r="A32" s="1" t="s">
        <v>12</v>
      </c>
      <c r="B32" s="12">
        <v>2021</v>
      </c>
      <c r="C32" s="3">
        <v>845078340</v>
      </c>
      <c r="D32" s="31">
        <v>81433957569</v>
      </c>
      <c r="E32" s="15">
        <f t="shared" si="0"/>
        <v>1.0377468628906494E-2</v>
      </c>
    </row>
    <row r="33" spans="1:5" x14ac:dyDescent="0.25">
      <c r="A33" s="1"/>
      <c r="B33" s="12">
        <v>2022</v>
      </c>
      <c r="C33" s="3">
        <v>712865934</v>
      </c>
      <c r="D33" s="31">
        <v>171060047099</v>
      </c>
      <c r="E33" s="15">
        <f t="shared" si="0"/>
        <v>4.1673432580515606E-3</v>
      </c>
    </row>
    <row r="34" spans="1:5" x14ac:dyDescent="0.25">
      <c r="A34" s="1"/>
      <c r="B34" s="12">
        <v>2023</v>
      </c>
      <c r="C34" s="3">
        <v>351804208</v>
      </c>
      <c r="D34" s="31">
        <v>19816764969</v>
      </c>
      <c r="E34" s="15">
        <f t="shared" si="0"/>
        <v>1.7752857671286842E-2</v>
      </c>
    </row>
    <row r="35" spans="1:5" x14ac:dyDescent="0.25">
      <c r="A35" s="1" t="s">
        <v>13</v>
      </c>
      <c r="B35" s="12">
        <v>2021</v>
      </c>
      <c r="C35" s="3">
        <v>2765400000</v>
      </c>
      <c r="D35" s="31">
        <v>416209347000</v>
      </c>
      <c r="E35" s="15">
        <f t="shared" si="0"/>
        <v>6.6442525136274754E-3</v>
      </c>
    </row>
    <row r="36" spans="1:5" x14ac:dyDescent="0.25">
      <c r="A36" s="1"/>
      <c r="B36" s="12">
        <v>2022</v>
      </c>
      <c r="C36" s="3">
        <v>2986500000</v>
      </c>
      <c r="D36" s="31">
        <v>354901190000</v>
      </c>
      <c r="E36" s="15">
        <f t="shared" si="0"/>
        <v>8.4150182759319576E-3</v>
      </c>
    </row>
    <row r="37" spans="1:5" x14ac:dyDescent="0.25">
      <c r="A37" s="1"/>
      <c r="B37" s="12">
        <v>2023</v>
      </c>
      <c r="C37" s="3">
        <v>3503155000</v>
      </c>
      <c r="D37" s="31">
        <v>375985161000</v>
      </c>
      <c r="E37" s="15">
        <f t="shared" si="0"/>
        <v>9.3172693057426269E-3</v>
      </c>
    </row>
    <row r="38" spans="1:5" x14ac:dyDescent="0.25">
      <c r="A38" s="1" t="s">
        <v>14</v>
      </c>
      <c r="B38" s="12">
        <v>2021</v>
      </c>
      <c r="C38" s="3">
        <v>4164314000</v>
      </c>
      <c r="D38" s="31">
        <v>159076942627</v>
      </c>
      <c r="E38" s="15">
        <f t="shared" si="0"/>
        <v>2.6177986144506112E-2</v>
      </c>
    </row>
    <row r="39" spans="1:5" x14ac:dyDescent="0.25">
      <c r="A39" s="1"/>
      <c r="B39" s="12">
        <v>2022</v>
      </c>
      <c r="C39" s="3">
        <v>3898675403</v>
      </c>
      <c r="D39" s="31">
        <v>197694385018</v>
      </c>
      <c r="E39" s="15">
        <f t="shared" si="0"/>
        <v>1.9720718940221933E-2</v>
      </c>
    </row>
    <row r="40" spans="1:5" x14ac:dyDescent="0.25">
      <c r="A40" s="1"/>
      <c r="B40" s="12">
        <v>2023</v>
      </c>
      <c r="C40" s="3">
        <v>6181904421</v>
      </c>
      <c r="D40" s="31">
        <v>220358607610</v>
      </c>
      <c r="E40" s="15">
        <f t="shared" si="0"/>
        <v>2.8053836825566607E-2</v>
      </c>
    </row>
    <row r="41" spans="1:5" x14ac:dyDescent="0.25">
      <c r="A41" s="1" t="s">
        <v>15</v>
      </c>
      <c r="B41" s="12">
        <v>2021</v>
      </c>
      <c r="C41" s="3">
        <v>57000000</v>
      </c>
      <c r="D41" s="31">
        <v>171146039488</v>
      </c>
      <c r="E41" s="15">
        <f t="shared" si="0"/>
        <v>3.3304889888495834E-4</v>
      </c>
    </row>
    <row r="42" spans="1:5" x14ac:dyDescent="0.25">
      <c r="A42" s="1"/>
      <c r="B42" s="12">
        <v>2022</v>
      </c>
      <c r="C42" s="3">
        <v>267912000</v>
      </c>
      <c r="D42" s="31">
        <v>345992311458</v>
      </c>
      <c r="E42" s="15">
        <f t="shared" si="0"/>
        <v>7.7432934527078888E-4</v>
      </c>
    </row>
    <row r="43" spans="1:5" x14ac:dyDescent="0.25">
      <c r="A43" s="1"/>
      <c r="B43" s="12">
        <v>2023</v>
      </c>
      <c r="C43" s="3">
        <v>40100000</v>
      </c>
      <c r="D43" s="31">
        <v>420077400658</v>
      </c>
      <c r="E43" s="15">
        <f t="shared" si="0"/>
        <v>9.5458598670597952E-5</v>
      </c>
    </row>
    <row r="44" spans="1:5" x14ac:dyDescent="0.25">
      <c r="A44" s="1" t="s">
        <v>16</v>
      </c>
      <c r="B44" s="12">
        <v>2021</v>
      </c>
      <c r="C44" s="3">
        <v>1500000000</v>
      </c>
      <c r="D44" s="31">
        <v>110071266039</v>
      </c>
      <c r="E44" s="15">
        <f t="shared" si="0"/>
        <v>1.3627534723444775E-2</v>
      </c>
    </row>
    <row r="45" spans="1:5" x14ac:dyDescent="0.25">
      <c r="A45" s="1"/>
      <c r="B45" s="12">
        <v>2022</v>
      </c>
      <c r="C45" s="3">
        <v>1500000000</v>
      </c>
      <c r="D45" s="31">
        <v>122919207172</v>
      </c>
      <c r="E45" s="15">
        <f t="shared" si="0"/>
        <v>1.2203137609739545E-2</v>
      </c>
    </row>
    <row r="46" spans="1:5" x14ac:dyDescent="0.25">
      <c r="A46" s="1"/>
      <c r="B46" s="12">
        <v>2023</v>
      </c>
      <c r="C46" s="3">
        <v>1500000000</v>
      </c>
      <c r="D46" s="31">
        <v>43816428957</v>
      </c>
      <c r="E46" s="15">
        <f t="shared" si="0"/>
        <v>3.4233734599231049E-2</v>
      </c>
    </row>
    <row r="47" spans="1:5" x14ac:dyDescent="0.25">
      <c r="A47" s="1" t="s">
        <v>17</v>
      </c>
      <c r="B47" s="12">
        <v>2021</v>
      </c>
      <c r="C47" s="3">
        <v>1257000000</v>
      </c>
      <c r="D47" s="31">
        <v>1434551000000</v>
      </c>
      <c r="E47" s="15">
        <f t="shared" si="0"/>
        <v>8.7623235423487907E-4</v>
      </c>
    </row>
    <row r="48" spans="1:5" x14ac:dyDescent="0.25">
      <c r="A48" s="1"/>
      <c r="B48" s="12">
        <v>2022</v>
      </c>
      <c r="C48" s="3">
        <v>1524000000</v>
      </c>
      <c r="D48" s="31">
        <v>1400365000000</v>
      </c>
      <c r="E48" s="15">
        <f t="shared" si="0"/>
        <v>1.0882876964220043E-3</v>
      </c>
    </row>
    <row r="49" spans="1:5" x14ac:dyDescent="0.25">
      <c r="A49" s="1"/>
      <c r="B49" s="12">
        <v>2023</v>
      </c>
      <c r="C49" s="3">
        <v>1059000000</v>
      </c>
      <c r="D49" s="31">
        <v>1643096000000</v>
      </c>
      <c r="E49" s="15">
        <f t="shared" si="0"/>
        <v>6.445149887772839E-4</v>
      </c>
    </row>
    <row r="50" spans="1:5" x14ac:dyDescent="0.25">
      <c r="A50" s="2" t="s">
        <v>18</v>
      </c>
      <c r="B50" s="12">
        <v>2021</v>
      </c>
      <c r="C50" s="3">
        <v>47355000000</v>
      </c>
      <c r="D50" s="31">
        <v>2067362000000</v>
      </c>
      <c r="E50" s="15">
        <f t="shared" si="0"/>
        <v>2.2906002915793169E-2</v>
      </c>
    </row>
    <row r="51" spans="1:5" x14ac:dyDescent="0.25">
      <c r="A51" s="2"/>
      <c r="B51" s="12">
        <v>2022</v>
      </c>
      <c r="C51" s="3">
        <v>76545000000</v>
      </c>
      <c r="D51" s="31">
        <v>1792050000000</v>
      </c>
      <c r="E51" s="15">
        <f t="shared" si="0"/>
        <v>4.2713651962835858E-2</v>
      </c>
    </row>
    <row r="52" spans="1:5" x14ac:dyDescent="0.25">
      <c r="A52" s="2"/>
      <c r="B52" s="12">
        <v>2023</v>
      </c>
      <c r="C52" s="3">
        <v>59622000000</v>
      </c>
      <c r="D52" s="31">
        <v>1088170000000</v>
      </c>
      <c r="E52" s="15">
        <f t="shared" si="0"/>
        <v>5.4791071248058668E-2</v>
      </c>
    </row>
    <row r="53" spans="1:5" x14ac:dyDescent="0.25">
      <c r="A53" s="2" t="s">
        <v>19</v>
      </c>
      <c r="B53" s="12">
        <v>2021</v>
      </c>
      <c r="C53" s="3">
        <v>225000000</v>
      </c>
      <c r="D53" s="31">
        <v>265758000000</v>
      </c>
      <c r="E53" s="15">
        <f t="shared" si="0"/>
        <v>8.4663490845054523E-4</v>
      </c>
    </row>
    <row r="54" spans="1:5" x14ac:dyDescent="0.25">
      <c r="A54" s="2"/>
      <c r="B54" s="12">
        <v>2022</v>
      </c>
      <c r="C54" s="3">
        <v>310000000</v>
      </c>
      <c r="D54" s="31">
        <v>364972000000</v>
      </c>
      <c r="E54" s="15">
        <f t="shared" si="0"/>
        <v>8.4938022642832873E-4</v>
      </c>
    </row>
    <row r="55" spans="1:5" x14ac:dyDescent="0.25">
      <c r="A55" s="2"/>
      <c r="B55" s="12">
        <v>2023</v>
      </c>
      <c r="C55" s="3">
        <v>500000000</v>
      </c>
      <c r="D55" s="31">
        <v>395798000000</v>
      </c>
      <c r="E55" s="15">
        <f t="shared" si="0"/>
        <v>1.2632706582650745E-3</v>
      </c>
    </row>
    <row r="56" spans="1:5" x14ac:dyDescent="0.25">
      <c r="A56" s="2" t="s">
        <v>20</v>
      </c>
      <c r="B56" s="12">
        <v>2021</v>
      </c>
      <c r="C56" s="3">
        <f>115331700+528435000</f>
        <v>643766700</v>
      </c>
      <c r="D56" s="31">
        <v>380992000000</v>
      </c>
      <c r="E56" s="15">
        <f t="shared" si="0"/>
        <v>1.6897118574668234E-3</v>
      </c>
    </row>
    <row r="57" spans="1:5" x14ac:dyDescent="0.25">
      <c r="A57" s="2"/>
      <c r="B57" s="12">
        <v>2022</v>
      </c>
      <c r="C57" s="3">
        <f>127118200+607700250</f>
        <v>734818450</v>
      </c>
      <c r="D57" s="31">
        <v>523242000000</v>
      </c>
      <c r="E57" s="15">
        <f t="shared" si="0"/>
        <v>1.4043567794634222E-3</v>
      </c>
    </row>
    <row r="58" spans="1:5" x14ac:dyDescent="0.25">
      <c r="A58" s="2"/>
      <c r="B58" s="12">
        <v>2023</v>
      </c>
      <c r="C58" s="3">
        <f>14457528+305089000</f>
        <v>319546528</v>
      </c>
      <c r="D58" s="31">
        <v>595740000000</v>
      </c>
      <c r="E58" s="15">
        <f t="shared" si="0"/>
        <v>5.3638588646053649E-4</v>
      </c>
    </row>
    <row r="59" spans="1:5" x14ac:dyDescent="0.25">
      <c r="A59" s="2" t="s">
        <v>21</v>
      </c>
      <c r="B59" s="12">
        <v>2021</v>
      </c>
      <c r="C59" s="3">
        <v>3720000000</v>
      </c>
      <c r="D59" s="31">
        <v>187066990085</v>
      </c>
      <c r="E59" s="15">
        <f t="shared" si="0"/>
        <v>1.9885924279370169E-2</v>
      </c>
    </row>
    <row r="60" spans="1:5" x14ac:dyDescent="0.25">
      <c r="A60" s="2"/>
      <c r="B60" s="12">
        <v>2022</v>
      </c>
      <c r="C60" s="3">
        <v>545000000</v>
      </c>
      <c r="D60" s="31">
        <v>220704543072</v>
      </c>
      <c r="E60" s="15">
        <f t="shared" si="0"/>
        <v>2.4693646646965746E-3</v>
      </c>
    </row>
    <row r="61" spans="1:5" x14ac:dyDescent="0.25">
      <c r="A61" s="2"/>
      <c r="B61" s="12">
        <v>2023</v>
      </c>
      <c r="C61" s="3">
        <v>1076000000</v>
      </c>
      <c r="D61" s="31">
        <v>153574779624</v>
      </c>
      <c r="E61" s="15">
        <f t="shared" si="0"/>
        <v>7.0063587435019664E-3</v>
      </c>
    </row>
    <row r="62" spans="1:5" x14ac:dyDescent="0.25">
      <c r="A62" s="2" t="s">
        <v>22</v>
      </c>
      <c r="B62" s="12">
        <v>2021</v>
      </c>
      <c r="C62" s="3">
        <v>3850700000</v>
      </c>
      <c r="D62" s="31">
        <v>3619010000000</v>
      </c>
      <c r="E62" s="15">
        <f t="shared" si="0"/>
        <v>1.0640202707370248E-3</v>
      </c>
    </row>
    <row r="63" spans="1:5" x14ac:dyDescent="0.25">
      <c r="A63" s="2"/>
      <c r="B63" s="12">
        <v>2022</v>
      </c>
      <c r="C63" s="3">
        <v>4536000000</v>
      </c>
      <c r="D63" s="31">
        <v>2930357000000</v>
      </c>
      <c r="E63" s="15">
        <f t="shared" si="0"/>
        <v>1.547934261934638E-3</v>
      </c>
    </row>
    <row r="64" spans="1:5" x14ac:dyDescent="0.25">
      <c r="A64" s="2"/>
      <c r="B64" s="12">
        <v>2023</v>
      </c>
      <c r="C64" s="3">
        <v>4788000000</v>
      </c>
      <c r="D64" s="31">
        <v>2318088000000</v>
      </c>
      <c r="E64" s="15">
        <f t="shared" ref="E64:E127" si="1">C64/D64</f>
        <v>2.065495356517958E-3</v>
      </c>
    </row>
    <row r="65" spans="1:5" x14ac:dyDescent="0.25">
      <c r="A65" s="2" t="s">
        <v>23</v>
      </c>
      <c r="B65" s="12">
        <v>2021</v>
      </c>
      <c r="C65" s="3">
        <v>6786500000</v>
      </c>
      <c r="D65" s="31">
        <v>739649000000</v>
      </c>
      <c r="E65" s="15">
        <f t="shared" si="1"/>
        <v>9.1752980129764256E-3</v>
      </c>
    </row>
    <row r="66" spans="1:5" x14ac:dyDescent="0.25">
      <c r="A66" s="2"/>
      <c r="B66" s="12">
        <v>2022</v>
      </c>
      <c r="C66" s="3">
        <v>7855400000</v>
      </c>
      <c r="D66" s="31">
        <v>1206587000000</v>
      </c>
      <c r="E66" s="15">
        <f t="shared" si="1"/>
        <v>6.5104298322458303E-3</v>
      </c>
    </row>
    <row r="67" spans="1:5" x14ac:dyDescent="0.25">
      <c r="A67" s="2"/>
      <c r="B67" s="12">
        <v>2023</v>
      </c>
      <c r="C67" s="3">
        <v>6587600000</v>
      </c>
      <c r="D67" s="31">
        <v>841665000000</v>
      </c>
      <c r="E67" s="15">
        <f t="shared" si="1"/>
        <v>7.8268669838950176E-3</v>
      </c>
    </row>
    <row r="68" spans="1:5" x14ac:dyDescent="0.25">
      <c r="A68" s="2" t="s">
        <v>24</v>
      </c>
      <c r="B68" s="12">
        <v>2021</v>
      </c>
      <c r="C68" s="3">
        <v>68796000000</v>
      </c>
      <c r="D68" s="31">
        <v>7137097000000</v>
      </c>
      <c r="E68" s="15">
        <f t="shared" si="1"/>
        <v>9.6392132543525744E-3</v>
      </c>
    </row>
    <row r="69" spans="1:5" x14ac:dyDescent="0.25">
      <c r="A69" s="2"/>
      <c r="B69" s="12">
        <v>2022</v>
      </c>
      <c r="C69" s="3">
        <v>67854000000</v>
      </c>
      <c r="D69" s="31">
        <v>6323744000000</v>
      </c>
      <c r="E69" s="15">
        <f t="shared" si="1"/>
        <v>1.0730035877480176E-2</v>
      </c>
    </row>
    <row r="70" spans="1:5" x14ac:dyDescent="0.25">
      <c r="A70" s="2"/>
      <c r="B70" s="12">
        <v>2023</v>
      </c>
      <c r="C70" s="3">
        <v>71000000000</v>
      </c>
      <c r="D70" s="31">
        <v>8096811000000</v>
      </c>
      <c r="E70" s="15">
        <f t="shared" si="1"/>
        <v>8.7688844410472224E-3</v>
      </c>
    </row>
    <row r="71" spans="1:5" x14ac:dyDescent="0.25">
      <c r="A71" s="2" t="s">
        <v>25</v>
      </c>
      <c r="B71" s="12">
        <v>2021</v>
      </c>
      <c r="C71" s="3">
        <v>2156000000</v>
      </c>
      <c r="D71" s="31">
        <v>7911943000000</v>
      </c>
      <c r="E71" s="15">
        <f t="shared" si="1"/>
        <v>2.7249943534729711E-4</v>
      </c>
    </row>
    <row r="72" spans="1:5" x14ac:dyDescent="0.25">
      <c r="A72" s="2"/>
      <c r="B72" s="12">
        <v>2022</v>
      </c>
      <c r="C72" s="3">
        <v>2456000000</v>
      </c>
      <c r="D72" s="31">
        <v>5722194000000</v>
      </c>
      <c r="E72" s="15">
        <f t="shared" si="1"/>
        <v>4.2920600035580757E-4</v>
      </c>
    </row>
    <row r="73" spans="1:5" x14ac:dyDescent="0.25">
      <c r="A73" s="2"/>
      <c r="B73" s="12">
        <v>2023</v>
      </c>
      <c r="C73" s="3">
        <v>3452300000</v>
      </c>
      <c r="D73" s="31">
        <v>8465123000000</v>
      </c>
      <c r="E73" s="15">
        <f t="shared" si="1"/>
        <v>4.0782632455547307E-4</v>
      </c>
    </row>
    <row r="74" spans="1:5" x14ac:dyDescent="0.25">
      <c r="A74" s="2" t="s">
        <v>26</v>
      </c>
      <c r="B74" s="12">
        <v>2021</v>
      </c>
      <c r="C74" s="3">
        <v>45365000000</v>
      </c>
      <c r="D74" s="31">
        <v>11229695000000</v>
      </c>
      <c r="E74" s="15">
        <f t="shared" si="1"/>
        <v>4.0397357185569154E-3</v>
      </c>
    </row>
    <row r="75" spans="1:5" x14ac:dyDescent="0.25">
      <c r="A75" s="2"/>
      <c r="B75" s="12">
        <v>2022</v>
      </c>
      <c r="C75" s="3">
        <v>49806000000</v>
      </c>
      <c r="D75" s="31">
        <v>9192569000000</v>
      </c>
      <c r="E75" s="15">
        <f t="shared" si="1"/>
        <v>5.4180719230935339E-3</v>
      </c>
    </row>
    <row r="76" spans="1:5" x14ac:dyDescent="0.25">
      <c r="A76" s="2"/>
      <c r="B76" s="12">
        <v>2023</v>
      </c>
      <c r="C76" s="3">
        <v>50643600000</v>
      </c>
      <c r="D76" s="31">
        <v>11493733000000</v>
      </c>
      <c r="E76" s="15">
        <f t="shared" si="1"/>
        <v>4.4061924876800255E-3</v>
      </c>
    </row>
    <row r="77" spans="1:5" x14ac:dyDescent="0.25">
      <c r="A77" s="2" t="s">
        <v>27</v>
      </c>
      <c r="B77" s="12">
        <v>2021</v>
      </c>
      <c r="C77" s="3">
        <v>7293000000</v>
      </c>
      <c r="D77" s="31">
        <v>2130896000000</v>
      </c>
      <c r="E77" s="15">
        <f t="shared" si="1"/>
        <v>3.4225039607751855E-3</v>
      </c>
    </row>
    <row r="78" spans="1:5" x14ac:dyDescent="0.25">
      <c r="A78" s="2"/>
      <c r="B78" s="12">
        <v>2022</v>
      </c>
      <c r="C78" s="3">
        <v>6333000000</v>
      </c>
      <c r="D78" s="31">
        <v>1490931000000</v>
      </c>
      <c r="E78" s="15">
        <f t="shared" si="1"/>
        <v>4.2476814822416326E-3</v>
      </c>
    </row>
    <row r="79" spans="1:5" x14ac:dyDescent="0.25">
      <c r="A79" s="2"/>
      <c r="B79" s="12">
        <v>2023</v>
      </c>
      <c r="C79" s="3">
        <v>8691000000</v>
      </c>
      <c r="D79" s="31">
        <v>945922000000</v>
      </c>
      <c r="E79" s="15">
        <f t="shared" si="1"/>
        <v>9.1878611555709661E-3</v>
      </c>
    </row>
    <row r="80" spans="1:5" x14ac:dyDescent="0.25">
      <c r="A80" s="2" t="s">
        <v>47</v>
      </c>
      <c r="B80" s="12">
        <v>2021</v>
      </c>
      <c r="C80" s="3">
        <v>5476540000</v>
      </c>
      <c r="D80" s="31">
        <v>991630000000</v>
      </c>
      <c r="E80" s="15">
        <f t="shared" si="1"/>
        <v>5.5227655476336943E-3</v>
      </c>
    </row>
    <row r="81" spans="1:5" x14ac:dyDescent="0.25">
      <c r="A81" s="2"/>
      <c r="B81" s="12">
        <v>2022</v>
      </c>
      <c r="C81" s="3">
        <v>5675432000</v>
      </c>
      <c r="D81" s="31">
        <v>1035285000000</v>
      </c>
      <c r="E81" s="15">
        <f t="shared" si="1"/>
        <v>5.4819996426104887E-3</v>
      </c>
    </row>
    <row r="82" spans="1:5" x14ac:dyDescent="0.25">
      <c r="A82" s="2"/>
      <c r="B82" s="12">
        <v>2023</v>
      </c>
      <c r="C82" s="3">
        <v>6543890000</v>
      </c>
      <c r="D82" s="31">
        <v>760673000000</v>
      </c>
      <c r="E82" s="15">
        <f t="shared" si="1"/>
        <v>8.6027636053862822E-3</v>
      </c>
    </row>
    <row r="83" spans="1:5" x14ac:dyDescent="0.25">
      <c r="A83" s="2" t="s">
        <v>48</v>
      </c>
      <c r="B83" s="12">
        <v>2021</v>
      </c>
      <c r="C83" s="3">
        <v>353000000</v>
      </c>
      <c r="D83" s="31">
        <v>60376485000</v>
      </c>
      <c r="E83" s="15">
        <f t="shared" si="1"/>
        <v>5.8466470845396183E-3</v>
      </c>
    </row>
    <row r="84" spans="1:5" x14ac:dyDescent="0.25">
      <c r="A84" s="2"/>
      <c r="B84" s="12">
        <v>2022</v>
      </c>
      <c r="C84" s="3">
        <v>180000000</v>
      </c>
      <c r="D84" s="31">
        <v>26217657000</v>
      </c>
      <c r="E84" s="15">
        <f t="shared" si="1"/>
        <v>6.8656020635253561E-3</v>
      </c>
    </row>
    <row r="85" spans="1:5" x14ac:dyDescent="0.25">
      <c r="A85" s="2"/>
      <c r="B85" s="12">
        <v>2023</v>
      </c>
      <c r="C85" s="3">
        <v>224000000</v>
      </c>
      <c r="D85" s="31">
        <v>63162746000</v>
      </c>
      <c r="E85" s="15">
        <f t="shared" si="1"/>
        <v>3.546394262212729E-3</v>
      </c>
    </row>
    <row r="86" spans="1:5" x14ac:dyDescent="0.25">
      <c r="A86" s="2" t="s">
        <v>49</v>
      </c>
      <c r="B86" s="12">
        <v>2021</v>
      </c>
      <c r="C86" s="3">
        <v>546780000</v>
      </c>
      <c r="D86" s="31">
        <v>665850000000</v>
      </c>
      <c r="E86" s="15">
        <f t="shared" si="1"/>
        <v>8.211759405271458E-4</v>
      </c>
    </row>
    <row r="87" spans="1:5" x14ac:dyDescent="0.25">
      <c r="A87" s="2"/>
      <c r="B87" s="12">
        <v>2022</v>
      </c>
      <c r="C87" s="3">
        <v>654300000</v>
      </c>
      <c r="D87" s="31">
        <v>924906000000</v>
      </c>
      <c r="E87" s="15">
        <f t="shared" si="1"/>
        <v>7.0742324084825919E-4</v>
      </c>
    </row>
    <row r="88" spans="1:5" x14ac:dyDescent="0.25">
      <c r="A88" s="2"/>
      <c r="B88" s="12">
        <v>2023</v>
      </c>
      <c r="C88" s="3">
        <v>667030000</v>
      </c>
      <c r="D88" s="31">
        <v>1066467000000</v>
      </c>
      <c r="E88" s="15">
        <f t="shared" si="1"/>
        <v>6.2545770286375477E-4</v>
      </c>
    </row>
    <row r="89" spans="1:5" x14ac:dyDescent="0.25">
      <c r="A89" s="2" t="s">
        <v>50</v>
      </c>
      <c r="B89" s="12">
        <v>2021</v>
      </c>
      <c r="C89" s="3">
        <v>5432000000</v>
      </c>
      <c r="D89" s="31">
        <v>1211052647953</v>
      </c>
      <c r="E89" s="15">
        <f t="shared" si="1"/>
        <v>4.4853541331844821E-3</v>
      </c>
    </row>
    <row r="90" spans="1:5" x14ac:dyDescent="0.25">
      <c r="A90" s="2"/>
      <c r="B90" s="12">
        <v>2022</v>
      </c>
      <c r="C90" s="3">
        <v>4321000000</v>
      </c>
      <c r="D90" s="31">
        <v>1970064538149</v>
      </c>
      <c r="E90" s="15">
        <f t="shared" si="1"/>
        <v>2.193329160708538E-3</v>
      </c>
    </row>
    <row r="91" spans="1:5" x14ac:dyDescent="0.25">
      <c r="A91" s="2"/>
      <c r="B91" s="12">
        <v>2023</v>
      </c>
      <c r="C91" s="3">
        <v>4876000000</v>
      </c>
      <c r="D91" s="31">
        <v>3244872091221</v>
      </c>
      <c r="E91" s="15">
        <f t="shared" si="1"/>
        <v>1.5026786458523329E-3</v>
      </c>
    </row>
    <row r="92" spans="1:5" x14ac:dyDescent="0.25">
      <c r="A92" s="2" t="s">
        <v>51</v>
      </c>
      <c r="B92" s="12">
        <v>2021</v>
      </c>
      <c r="C92" s="3">
        <v>3700000000</v>
      </c>
      <c r="D92" s="31">
        <v>283602993676</v>
      </c>
      <c r="E92" s="15">
        <f t="shared" si="1"/>
        <v>1.3046406711161293E-2</v>
      </c>
    </row>
    <row r="93" spans="1:5" x14ac:dyDescent="0.25">
      <c r="A93" s="2"/>
      <c r="B93" s="12">
        <v>2022</v>
      </c>
      <c r="C93" s="3">
        <v>3800000000</v>
      </c>
      <c r="D93" s="31">
        <v>432247722254</v>
      </c>
      <c r="E93" s="15">
        <f t="shared" si="1"/>
        <v>8.7912551168216942E-3</v>
      </c>
    </row>
    <row r="94" spans="1:5" x14ac:dyDescent="0.25">
      <c r="A94" s="2"/>
      <c r="B94" s="12">
        <v>2023</v>
      </c>
      <c r="C94" s="3">
        <v>4000000000</v>
      </c>
      <c r="D94" s="31">
        <v>333300420963</v>
      </c>
      <c r="E94" s="15">
        <f t="shared" si="1"/>
        <v>1.2001184962331757E-2</v>
      </c>
    </row>
    <row r="95" spans="1:5" x14ac:dyDescent="0.25">
      <c r="A95" s="2" t="s">
        <v>52</v>
      </c>
      <c r="B95" s="12">
        <v>2021</v>
      </c>
      <c r="C95" s="3">
        <v>561124553</v>
      </c>
      <c r="D95" s="31">
        <v>29707421605</v>
      </c>
      <c r="E95" s="15">
        <f t="shared" si="1"/>
        <v>1.8888362661051615E-2</v>
      </c>
    </row>
    <row r="96" spans="1:5" x14ac:dyDescent="0.25">
      <c r="A96" s="2"/>
      <c r="B96" s="12">
        <v>2022</v>
      </c>
      <c r="C96" s="3">
        <v>394155529</v>
      </c>
      <c r="D96" s="31">
        <v>86635603936</v>
      </c>
      <c r="E96" s="15">
        <f t="shared" si="1"/>
        <v>4.549579054024637E-3</v>
      </c>
    </row>
    <row r="97" spans="1:5" x14ac:dyDescent="0.25">
      <c r="A97" s="2"/>
      <c r="B97" s="12">
        <v>2023</v>
      </c>
      <c r="C97" s="3">
        <v>353777819</v>
      </c>
      <c r="D97" s="31">
        <v>2306736526</v>
      </c>
      <c r="E97" s="15">
        <f t="shared" si="1"/>
        <v>0.1533672419942424</v>
      </c>
    </row>
    <row r="98" spans="1:5" x14ac:dyDescent="0.25">
      <c r="A98" s="2" t="s">
        <v>53</v>
      </c>
      <c r="B98" s="12">
        <v>2021</v>
      </c>
      <c r="C98" s="3">
        <v>5673450000</v>
      </c>
      <c r="D98" s="31">
        <v>2829418000000</v>
      </c>
      <c r="E98" s="15">
        <f t="shared" si="1"/>
        <v>2.0051650198026592E-3</v>
      </c>
    </row>
    <row r="99" spans="1:5" x14ac:dyDescent="0.25">
      <c r="A99" s="2"/>
      <c r="B99" s="12">
        <v>2022</v>
      </c>
      <c r="C99" s="3">
        <v>6574320000</v>
      </c>
      <c r="D99" s="31">
        <v>5504956000000</v>
      </c>
      <c r="E99" s="15">
        <f t="shared" si="1"/>
        <v>1.1942547769682446E-3</v>
      </c>
    </row>
    <row r="100" spans="1:5" x14ac:dyDescent="0.25">
      <c r="A100" s="2"/>
      <c r="B100" s="12">
        <v>2023</v>
      </c>
      <c r="C100" s="3">
        <v>5986760000</v>
      </c>
      <c r="D100" s="31">
        <v>917870000000</v>
      </c>
      <c r="E100" s="15">
        <f t="shared" si="1"/>
        <v>6.5224487127806766E-3</v>
      </c>
    </row>
    <row r="101" spans="1:5" x14ac:dyDescent="0.25">
      <c r="A101" s="2" t="s">
        <v>54</v>
      </c>
      <c r="B101" s="12">
        <v>2021</v>
      </c>
      <c r="C101" s="3">
        <v>1200000000</v>
      </c>
      <c r="D101" s="31">
        <v>617573766863</v>
      </c>
      <c r="E101" s="15">
        <f t="shared" si="1"/>
        <v>1.9430877158132318E-3</v>
      </c>
    </row>
    <row r="102" spans="1:5" x14ac:dyDescent="0.25">
      <c r="A102" s="2"/>
      <c r="B102" s="12">
        <v>2022</v>
      </c>
      <c r="C102" s="3">
        <v>685565926</v>
      </c>
      <c r="D102" s="31">
        <v>624524005786</v>
      </c>
      <c r="E102" s="15">
        <f t="shared" si="1"/>
        <v>1.0977415113726096E-3</v>
      </c>
    </row>
    <row r="103" spans="1:5" x14ac:dyDescent="0.25">
      <c r="A103" s="2"/>
      <c r="B103" s="12">
        <v>2023</v>
      </c>
      <c r="C103" s="3">
        <v>756478900</v>
      </c>
      <c r="D103" s="31">
        <v>917794022711</v>
      </c>
      <c r="E103" s="15">
        <f t="shared" si="1"/>
        <v>8.2423602821632695E-4</v>
      </c>
    </row>
    <row r="104" spans="1:5" x14ac:dyDescent="0.25">
      <c r="A104" s="2" t="s">
        <v>55</v>
      </c>
      <c r="B104" s="12">
        <v>2021</v>
      </c>
      <c r="C104" s="3">
        <v>9723000000</v>
      </c>
      <c r="D104" s="31">
        <v>791916000000</v>
      </c>
      <c r="E104" s="15">
        <f t="shared" si="1"/>
        <v>1.2277817344263786E-2</v>
      </c>
    </row>
    <row r="105" spans="1:5" x14ac:dyDescent="0.25">
      <c r="A105" s="2"/>
      <c r="B105" s="12">
        <v>2022</v>
      </c>
      <c r="C105" s="3">
        <v>8723000000</v>
      </c>
      <c r="D105" s="31">
        <v>801440000000</v>
      </c>
      <c r="E105" s="15">
        <f t="shared" si="1"/>
        <v>1.0884158514673588E-2</v>
      </c>
    </row>
    <row r="106" spans="1:5" x14ac:dyDescent="0.25">
      <c r="A106" s="2"/>
      <c r="B106" s="12">
        <v>2023</v>
      </c>
      <c r="C106" s="3">
        <v>9623000000</v>
      </c>
      <c r="D106" s="31">
        <v>612218000000</v>
      </c>
      <c r="E106" s="15">
        <f t="shared" si="1"/>
        <v>1.5718257222100625E-2</v>
      </c>
    </row>
    <row r="107" spans="1:5" x14ac:dyDescent="0.25">
      <c r="A107" s="2" t="s">
        <v>56</v>
      </c>
      <c r="B107" s="12">
        <v>2021</v>
      </c>
      <c r="C107" s="3">
        <v>108335000</v>
      </c>
      <c r="D107" s="31">
        <v>481109000000</v>
      </c>
      <c r="E107" s="15">
        <f t="shared" si="1"/>
        <v>2.2517766244239869E-4</v>
      </c>
    </row>
    <row r="108" spans="1:5" x14ac:dyDescent="0.25">
      <c r="A108" s="2"/>
      <c r="B108" s="12">
        <v>2022</v>
      </c>
      <c r="C108" s="3">
        <v>86496000</v>
      </c>
      <c r="D108" s="31">
        <v>478266000000</v>
      </c>
      <c r="E108" s="15">
        <f t="shared" si="1"/>
        <v>1.8085333266424961E-4</v>
      </c>
    </row>
    <row r="109" spans="1:5" x14ac:dyDescent="0.25">
      <c r="A109" s="2"/>
      <c r="B109" s="12">
        <v>2023</v>
      </c>
      <c r="C109" s="3">
        <v>68524000</v>
      </c>
      <c r="D109" s="31">
        <v>441099000000</v>
      </c>
      <c r="E109" s="15">
        <f t="shared" si="1"/>
        <v>1.5534834583619551E-4</v>
      </c>
    </row>
    <row r="110" spans="1:5" x14ac:dyDescent="0.25">
      <c r="A110" s="2" t="s">
        <v>57</v>
      </c>
      <c r="B110" s="12">
        <v>2021</v>
      </c>
      <c r="C110" s="3">
        <v>50000000</v>
      </c>
      <c r="D110" s="31">
        <v>1276793000000</v>
      </c>
      <c r="E110" s="15">
        <f t="shared" si="1"/>
        <v>3.9160615698864266E-5</v>
      </c>
    </row>
    <row r="111" spans="1:5" x14ac:dyDescent="0.25">
      <c r="A111" s="2"/>
      <c r="B111" s="12">
        <v>2022</v>
      </c>
      <c r="C111" s="3">
        <v>50000000</v>
      </c>
      <c r="D111" s="31">
        <v>965486000000</v>
      </c>
      <c r="E111" s="15">
        <f t="shared" si="1"/>
        <v>5.178738997768999E-5</v>
      </c>
    </row>
    <row r="112" spans="1:5" x14ac:dyDescent="0.25">
      <c r="A112" s="2"/>
      <c r="B112" s="12">
        <v>2023</v>
      </c>
      <c r="C112" s="3">
        <v>50000000</v>
      </c>
      <c r="D112" s="31">
        <v>1186161000000</v>
      </c>
      <c r="E112" s="15">
        <f t="shared" si="1"/>
        <v>4.2152793760712079E-5</v>
      </c>
    </row>
    <row r="113" spans="1:5" x14ac:dyDescent="0.25">
      <c r="A113" s="2" t="s">
        <v>58</v>
      </c>
      <c r="B113" s="12">
        <v>2021</v>
      </c>
      <c r="C113" s="3">
        <v>30280214000</v>
      </c>
      <c r="D113" s="31">
        <v>5758148000000</v>
      </c>
      <c r="E113" s="15">
        <f t="shared" si="1"/>
        <v>5.2586724064751372E-3</v>
      </c>
    </row>
    <row r="114" spans="1:5" x14ac:dyDescent="0.25">
      <c r="A114" s="2"/>
      <c r="B114" s="12">
        <v>2022</v>
      </c>
      <c r="C114" s="3">
        <v>32462276000</v>
      </c>
      <c r="D114" s="31">
        <v>5364761000000</v>
      </c>
      <c r="E114" s="15">
        <f t="shared" si="1"/>
        <v>6.0510199802004229E-3</v>
      </c>
    </row>
    <row r="115" spans="1:5" x14ac:dyDescent="0.25">
      <c r="A115" s="2"/>
      <c r="B115" s="12">
        <v>2023</v>
      </c>
      <c r="C115" s="3">
        <v>30360547000</v>
      </c>
      <c r="D115" s="31">
        <v>4800940000000</v>
      </c>
      <c r="E115" s="15">
        <f t="shared" si="1"/>
        <v>6.3238755327081776E-3</v>
      </c>
    </row>
    <row r="116" spans="1:5" x14ac:dyDescent="0.25">
      <c r="A116" s="2" t="s">
        <v>59</v>
      </c>
      <c r="B116" s="12">
        <v>2021</v>
      </c>
      <c r="C116" s="3">
        <v>688000000</v>
      </c>
      <c r="D116" s="31">
        <v>180711667020</v>
      </c>
      <c r="E116" s="15">
        <f t="shared" si="1"/>
        <v>3.8071697934359524E-3</v>
      </c>
    </row>
    <row r="117" spans="1:5" x14ac:dyDescent="0.25">
      <c r="A117" s="2"/>
      <c r="B117" s="12">
        <v>2022</v>
      </c>
      <c r="C117" s="3">
        <v>742000000</v>
      </c>
      <c r="D117" s="31">
        <v>195598848689</v>
      </c>
      <c r="E117" s="15">
        <f t="shared" si="1"/>
        <v>3.7934783613157753E-3</v>
      </c>
    </row>
    <row r="118" spans="1:5" x14ac:dyDescent="0.25">
      <c r="A118" s="2"/>
      <c r="B118" s="12">
        <v>2023</v>
      </c>
      <c r="C118" s="3">
        <v>892000000</v>
      </c>
      <c r="D118" s="31">
        <v>324092143202</v>
      </c>
      <c r="E118" s="15">
        <f t="shared" si="1"/>
        <v>2.7523036849555304E-3</v>
      </c>
    </row>
    <row r="119" spans="1:5" x14ac:dyDescent="0.25">
      <c r="A119" s="2" t="s">
        <v>60</v>
      </c>
      <c r="B119" s="12">
        <v>2021</v>
      </c>
      <c r="C119" s="3">
        <v>751250000</v>
      </c>
      <c r="D119" s="31">
        <v>99278807290</v>
      </c>
      <c r="E119" s="15">
        <f t="shared" si="1"/>
        <v>7.5670731801355025E-3</v>
      </c>
    </row>
    <row r="120" spans="1:5" x14ac:dyDescent="0.25">
      <c r="A120" s="2"/>
      <c r="B120" s="12">
        <v>2022</v>
      </c>
      <c r="C120" s="3">
        <v>103699900</v>
      </c>
      <c r="D120" s="31">
        <v>121257336904</v>
      </c>
      <c r="E120" s="15">
        <f t="shared" si="1"/>
        <v>8.5520515828332682E-4</v>
      </c>
    </row>
    <row r="121" spans="1:5" x14ac:dyDescent="0.25">
      <c r="A121" s="2"/>
      <c r="B121" s="12">
        <v>2023</v>
      </c>
      <c r="C121" s="3">
        <v>50000000</v>
      </c>
      <c r="D121" s="31">
        <v>127426464539</v>
      </c>
      <c r="E121" s="15">
        <f t="shared" si="1"/>
        <v>3.9238316923324087E-4</v>
      </c>
    </row>
    <row r="122" spans="1:5" x14ac:dyDescent="0.25">
      <c r="A122" s="2" t="s">
        <v>61</v>
      </c>
      <c r="B122" s="12">
        <v>2021</v>
      </c>
      <c r="C122" s="3">
        <v>35138000</v>
      </c>
      <c r="D122" s="31">
        <v>18368616642</v>
      </c>
      <c r="E122" s="15">
        <f t="shared" si="1"/>
        <v>1.9129366508557134E-3</v>
      </c>
    </row>
    <row r="123" spans="1:5" x14ac:dyDescent="0.25">
      <c r="A123" s="2"/>
      <c r="B123" s="12">
        <v>2022</v>
      </c>
      <c r="C123" s="3">
        <v>65500000</v>
      </c>
      <c r="D123" s="31">
        <v>23952323176</v>
      </c>
      <c r="E123" s="15">
        <f t="shared" si="1"/>
        <v>2.7345990415506075E-3</v>
      </c>
    </row>
    <row r="124" spans="1:5" x14ac:dyDescent="0.25">
      <c r="A124" s="2"/>
      <c r="B124" s="12">
        <v>2023</v>
      </c>
      <c r="C124" s="3">
        <v>36620000</v>
      </c>
      <c r="D124" s="31">
        <v>26963627275</v>
      </c>
      <c r="E124" s="15">
        <f t="shared" si="1"/>
        <v>1.3581258792266851E-3</v>
      </c>
    </row>
    <row r="125" spans="1:5" x14ac:dyDescent="0.25">
      <c r="A125" s="2" t="s">
        <v>62</v>
      </c>
      <c r="B125" s="12">
        <v>2021</v>
      </c>
      <c r="C125" s="3">
        <v>1633000000</v>
      </c>
      <c r="D125" s="31">
        <v>213841959820</v>
      </c>
      <c r="E125" s="15">
        <f t="shared" si="1"/>
        <v>7.6364807046033741E-3</v>
      </c>
    </row>
    <row r="126" spans="1:5" x14ac:dyDescent="0.25">
      <c r="A126" s="2"/>
      <c r="B126" s="12">
        <v>2022</v>
      </c>
      <c r="C126" s="3">
        <v>2390000000</v>
      </c>
      <c r="D126" s="31">
        <v>257682130697</v>
      </c>
      <c r="E126" s="15">
        <f t="shared" si="1"/>
        <v>9.274993161284913E-3</v>
      </c>
    </row>
    <row r="127" spans="1:5" x14ac:dyDescent="0.25">
      <c r="A127" s="2"/>
      <c r="B127" s="12">
        <v>2023</v>
      </c>
      <c r="C127" s="3">
        <v>5902000000</v>
      </c>
      <c r="D127" s="31">
        <v>549244004886</v>
      </c>
      <c r="E127" s="15">
        <f t="shared" si="1"/>
        <v>1.0745679420251493E-2</v>
      </c>
    </row>
    <row r="128" spans="1:5" x14ac:dyDescent="0.25">
      <c r="A128" s="2" t="s">
        <v>63</v>
      </c>
      <c r="B128" s="12">
        <v>2021</v>
      </c>
      <c r="C128" s="3">
        <v>151987600</v>
      </c>
      <c r="D128" s="31">
        <v>480060000000</v>
      </c>
      <c r="E128" s="15">
        <f t="shared" ref="E128:E184" si="2">C128/D128</f>
        <v>3.1660125817606133E-4</v>
      </c>
    </row>
    <row r="129" spans="1:5" x14ac:dyDescent="0.25">
      <c r="A129" s="2"/>
      <c r="B129" s="12">
        <v>2022</v>
      </c>
      <c r="C129" s="3">
        <v>153461730</v>
      </c>
      <c r="D129" s="31">
        <v>313648000000</v>
      </c>
      <c r="E129" s="15">
        <f t="shared" si="2"/>
        <v>4.892801165637912E-4</v>
      </c>
    </row>
    <row r="130" spans="1:5" x14ac:dyDescent="0.25">
      <c r="A130" s="2"/>
      <c r="B130" s="12">
        <v>2023</v>
      </c>
      <c r="C130" s="3">
        <v>142068400</v>
      </c>
      <c r="D130" s="31">
        <v>434532000000</v>
      </c>
      <c r="E130" s="15">
        <f t="shared" si="2"/>
        <v>3.2694577154271723E-4</v>
      </c>
    </row>
    <row r="131" spans="1:5" x14ac:dyDescent="0.25">
      <c r="A131" s="2" t="s">
        <v>64</v>
      </c>
      <c r="B131" s="12">
        <v>2021</v>
      </c>
      <c r="C131" s="3">
        <v>202990000</v>
      </c>
      <c r="D131" s="31">
        <v>259650288797</v>
      </c>
      <c r="E131" s="15">
        <f t="shared" si="2"/>
        <v>7.8178230011021399E-4</v>
      </c>
    </row>
    <row r="132" spans="1:5" x14ac:dyDescent="0.25">
      <c r="A132" s="2"/>
      <c r="B132" s="12">
        <v>2022</v>
      </c>
      <c r="C132" s="3">
        <v>212914400</v>
      </c>
      <c r="D132" s="31">
        <v>252406668731</v>
      </c>
      <c r="E132" s="15">
        <f t="shared" si="2"/>
        <v>8.4353714214623814E-4</v>
      </c>
    </row>
    <row r="133" spans="1:5" x14ac:dyDescent="0.25">
      <c r="A133" s="2"/>
      <c r="B133" s="12">
        <v>2023</v>
      </c>
      <c r="C133" s="3">
        <v>200746836</v>
      </c>
      <c r="D133" s="31">
        <v>146138989067</v>
      </c>
      <c r="E133" s="15">
        <f t="shared" si="2"/>
        <v>1.3736706219307708E-3</v>
      </c>
    </row>
    <row r="134" spans="1:5" x14ac:dyDescent="0.25">
      <c r="A134" s="2" t="s">
        <v>65</v>
      </c>
      <c r="B134" s="12">
        <v>2021</v>
      </c>
      <c r="C134" s="3">
        <v>4540102015</v>
      </c>
      <c r="D134" s="31">
        <v>351470000000</v>
      </c>
      <c r="E134" s="15">
        <f t="shared" si="2"/>
        <v>1.2917466682789426E-2</v>
      </c>
    </row>
    <row r="135" spans="1:5" x14ac:dyDescent="0.25">
      <c r="A135" s="2"/>
      <c r="B135" s="12">
        <v>2022</v>
      </c>
      <c r="C135" s="3">
        <v>3561060192</v>
      </c>
      <c r="D135" s="31">
        <v>382105000000</v>
      </c>
      <c r="E135" s="15">
        <f t="shared" si="2"/>
        <v>9.3195854333233009E-3</v>
      </c>
    </row>
    <row r="136" spans="1:5" x14ac:dyDescent="0.25">
      <c r="A136" s="2"/>
      <c r="B136" s="12">
        <v>2023</v>
      </c>
      <c r="C136" s="3">
        <v>2941902432</v>
      </c>
      <c r="D136" s="31">
        <v>319078000000</v>
      </c>
      <c r="E136" s="15">
        <f t="shared" si="2"/>
        <v>9.2200102545459111E-3</v>
      </c>
    </row>
    <row r="137" spans="1:5" x14ac:dyDescent="0.25">
      <c r="A137" s="2" t="s">
        <v>66</v>
      </c>
      <c r="B137" s="12">
        <v>2021</v>
      </c>
      <c r="C137" s="3">
        <v>200000000</v>
      </c>
      <c r="D137" s="31">
        <v>31335528055</v>
      </c>
      <c r="E137" s="15">
        <f t="shared" si="2"/>
        <v>6.3825316633873462E-3</v>
      </c>
    </row>
    <row r="138" spans="1:5" x14ac:dyDescent="0.25">
      <c r="A138" s="2"/>
      <c r="B138" s="12">
        <v>2022</v>
      </c>
      <c r="C138" s="3">
        <v>261273020</v>
      </c>
      <c r="D138" s="31">
        <v>167246545379</v>
      </c>
      <c r="E138" s="15">
        <f t="shared" si="2"/>
        <v>1.5622027911424128E-3</v>
      </c>
    </row>
    <row r="139" spans="1:5" x14ac:dyDescent="0.25">
      <c r="A139" s="2"/>
      <c r="B139" s="12">
        <v>2023</v>
      </c>
      <c r="C139" s="3">
        <v>334700000</v>
      </c>
      <c r="D139" s="31">
        <v>108056587588</v>
      </c>
      <c r="E139" s="15">
        <f t="shared" si="2"/>
        <v>3.0974511362153122E-3</v>
      </c>
    </row>
    <row r="140" spans="1:5" x14ac:dyDescent="0.25">
      <c r="A140" s="2" t="s">
        <v>67</v>
      </c>
      <c r="B140" s="12">
        <v>2021</v>
      </c>
      <c r="C140" s="3">
        <v>1627000000</v>
      </c>
      <c r="D140" s="31">
        <v>407516031006</v>
      </c>
      <c r="E140" s="15">
        <f t="shared" si="2"/>
        <v>3.9924809730394265E-3</v>
      </c>
    </row>
    <row r="141" spans="1:5" x14ac:dyDescent="0.25">
      <c r="A141" s="2"/>
      <c r="B141" s="12">
        <v>2022</v>
      </c>
      <c r="C141" s="3">
        <v>3696000000</v>
      </c>
      <c r="D141" s="31">
        <v>749310939262</v>
      </c>
      <c r="E141" s="15">
        <f t="shared" si="2"/>
        <v>4.9325317519589513E-3</v>
      </c>
    </row>
    <row r="142" spans="1:5" x14ac:dyDescent="0.25">
      <c r="A142" s="2"/>
      <c r="B142" s="12">
        <v>2023</v>
      </c>
      <c r="C142" s="3">
        <v>2685745000</v>
      </c>
      <c r="D142" s="31">
        <v>161679000832</v>
      </c>
      <c r="E142" s="15">
        <f t="shared" si="2"/>
        <v>1.6611588308804225E-2</v>
      </c>
    </row>
    <row r="143" spans="1:5" x14ac:dyDescent="0.25">
      <c r="A143" s="2" t="s">
        <v>68</v>
      </c>
      <c r="B143" s="12">
        <v>2021</v>
      </c>
      <c r="C143" s="3">
        <v>29110000000</v>
      </c>
      <c r="D143" s="31">
        <v>1198747000000</v>
      </c>
      <c r="E143" s="15">
        <f t="shared" si="2"/>
        <v>2.4283689552507745E-2</v>
      </c>
    </row>
    <row r="144" spans="1:5" x14ac:dyDescent="0.25">
      <c r="A144" s="2"/>
      <c r="B144" s="12">
        <v>2022</v>
      </c>
      <c r="C144" s="3">
        <v>24150000000</v>
      </c>
      <c r="D144" s="31">
        <v>3088745000000</v>
      </c>
      <c r="E144" s="15">
        <f t="shared" si="2"/>
        <v>7.8187095406062977E-3</v>
      </c>
    </row>
    <row r="145" spans="1:5" x14ac:dyDescent="0.25">
      <c r="A145" s="2"/>
      <c r="B145" s="12">
        <v>2023</v>
      </c>
      <c r="C145" s="3">
        <v>51763000000</v>
      </c>
      <c r="D145" s="31">
        <v>1661258000000</v>
      </c>
      <c r="E145" s="15">
        <f t="shared" si="2"/>
        <v>3.1158916917179633E-2</v>
      </c>
    </row>
    <row r="146" spans="1:5" x14ac:dyDescent="0.25">
      <c r="A146" s="2" t="s">
        <v>69</v>
      </c>
      <c r="B146" s="12">
        <v>2021</v>
      </c>
      <c r="C146" s="3">
        <v>1500000000</v>
      </c>
      <c r="D146" s="31">
        <v>790229000000</v>
      </c>
      <c r="E146" s="15">
        <f t="shared" si="2"/>
        <v>1.8981839441478356E-3</v>
      </c>
    </row>
    <row r="147" spans="1:5" x14ac:dyDescent="0.25">
      <c r="A147" s="2"/>
      <c r="B147" s="12">
        <v>2022</v>
      </c>
      <c r="C147" s="3">
        <f>132000000+1024000000+891000000</f>
        <v>2047000000</v>
      </c>
      <c r="D147" s="31">
        <v>1060582000000</v>
      </c>
      <c r="E147" s="15">
        <f t="shared" si="2"/>
        <v>1.9300723564986018E-3</v>
      </c>
    </row>
    <row r="148" spans="1:5" x14ac:dyDescent="0.25">
      <c r="A148" s="2"/>
      <c r="B148" s="12">
        <v>2023</v>
      </c>
      <c r="C148" s="3">
        <v>3500000000</v>
      </c>
      <c r="D148" s="31">
        <v>1241780000000</v>
      </c>
      <c r="E148" s="15">
        <f t="shared" si="2"/>
        <v>2.8185346840825269E-3</v>
      </c>
    </row>
    <row r="149" spans="1:5" x14ac:dyDescent="0.25">
      <c r="A149" s="2" t="s">
        <v>70</v>
      </c>
      <c r="B149" s="12">
        <v>2021</v>
      </c>
      <c r="C149" s="3">
        <v>1543200000</v>
      </c>
      <c r="D149" s="31">
        <v>2915091000</v>
      </c>
      <c r="E149" s="15">
        <f t="shared" si="2"/>
        <v>0.52938313074960608</v>
      </c>
    </row>
    <row r="150" spans="1:5" x14ac:dyDescent="0.25">
      <c r="A150" s="2"/>
      <c r="B150" s="12">
        <v>2022</v>
      </c>
      <c r="C150" s="3">
        <v>1754300000</v>
      </c>
      <c r="D150" s="31">
        <v>3564619000</v>
      </c>
      <c r="E150" s="15">
        <f t="shared" si="2"/>
        <v>0.49214235799113454</v>
      </c>
    </row>
    <row r="151" spans="1:5" x14ac:dyDescent="0.25">
      <c r="A151" s="2"/>
      <c r="B151" s="12">
        <v>2023</v>
      </c>
      <c r="C151" s="3">
        <v>1865540000</v>
      </c>
      <c r="D151" s="31">
        <v>3861987000</v>
      </c>
      <c r="E151" s="15">
        <f t="shared" si="2"/>
        <v>0.48305185905597298</v>
      </c>
    </row>
    <row r="152" spans="1:5" x14ac:dyDescent="0.25">
      <c r="A152" s="2" t="s">
        <v>71</v>
      </c>
      <c r="B152" s="12">
        <v>2021</v>
      </c>
      <c r="C152" s="3">
        <v>489342000</v>
      </c>
      <c r="D152" s="31">
        <v>1239313000000</v>
      </c>
      <c r="E152" s="15">
        <f t="shared" si="2"/>
        <v>3.948494044684434E-4</v>
      </c>
    </row>
    <row r="153" spans="1:5" x14ac:dyDescent="0.25">
      <c r="A153" s="2"/>
      <c r="B153" s="12">
        <v>2022</v>
      </c>
      <c r="C153" s="3">
        <v>505745000</v>
      </c>
      <c r="D153" s="31">
        <v>1280861000000</v>
      </c>
      <c r="E153" s="15">
        <f t="shared" si="2"/>
        <v>3.9484768448723163E-4</v>
      </c>
    </row>
    <row r="154" spans="1:5" x14ac:dyDescent="0.25">
      <c r="A154" s="2"/>
      <c r="B154" s="12">
        <v>2023</v>
      </c>
      <c r="C154" s="3">
        <v>409683000</v>
      </c>
      <c r="D154" s="31">
        <v>782252000000</v>
      </c>
      <c r="E154" s="15">
        <f t="shared" si="2"/>
        <v>5.2372253442624632E-4</v>
      </c>
    </row>
    <row r="155" spans="1:5" x14ac:dyDescent="0.25">
      <c r="A155" s="1" t="s">
        <v>28</v>
      </c>
      <c r="B155" s="12">
        <v>2021</v>
      </c>
      <c r="C155" s="3">
        <v>5123970473</v>
      </c>
      <c r="D155" s="31">
        <v>475983374390</v>
      </c>
      <c r="E155" s="15">
        <f t="shared" si="2"/>
        <v>1.0765019848784975E-2</v>
      </c>
    </row>
    <row r="156" spans="1:5" x14ac:dyDescent="0.25">
      <c r="A156" s="1"/>
      <c r="B156" s="12">
        <v>2022</v>
      </c>
      <c r="C156" s="3">
        <v>7123005675</v>
      </c>
      <c r="D156" s="31">
        <v>581557410601</v>
      </c>
      <c r="E156" s="15">
        <f t="shared" si="2"/>
        <v>1.2248155633747076E-2</v>
      </c>
    </row>
    <row r="157" spans="1:5" x14ac:dyDescent="0.25">
      <c r="A157" s="1"/>
      <c r="B157" s="12">
        <v>2023</v>
      </c>
      <c r="C157" s="3">
        <v>7346123905</v>
      </c>
      <c r="D157" s="31">
        <v>449080121387</v>
      </c>
      <c r="E157" s="15">
        <f t="shared" si="2"/>
        <v>1.635815872301636E-2</v>
      </c>
    </row>
    <row r="158" spans="1:5" x14ac:dyDescent="0.25">
      <c r="A158" s="1" t="s">
        <v>29</v>
      </c>
      <c r="B158" s="12">
        <v>2021</v>
      </c>
      <c r="C158" s="3">
        <v>1100000000</v>
      </c>
      <c r="D158" s="31">
        <v>87311000000</v>
      </c>
      <c r="E158" s="15">
        <f t="shared" si="2"/>
        <v>1.2598641637365281E-2</v>
      </c>
    </row>
    <row r="159" spans="1:5" x14ac:dyDescent="0.25">
      <c r="A159" s="1"/>
      <c r="B159" s="12">
        <v>2022</v>
      </c>
      <c r="C159" s="3">
        <v>1100000000</v>
      </c>
      <c r="D159" s="31">
        <v>97071000000</v>
      </c>
      <c r="E159" s="15">
        <f t="shared" si="2"/>
        <v>1.1331911693502695E-2</v>
      </c>
    </row>
    <row r="160" spans="1:5" x14ac:dyDescent="0.25">
      <c r="A160" s="1"/>
      <c r="B160" s="12">
        <v>2023</v>
      </c>
      <c r="C160" s="3">
        <v>1100000000</v>
      </c>
      <c r="D160" s="31">
        <v>141073000000</v>
      </c>
      <c r="E160" s="15">
        <f t="shared" si="2"/>
        <v>7.7973814975225595E-3</v>
      </c>
    </row>
    <row r="161" spans="1:5" x14ac:dyDescent="0.25">
      <c r="A161" s="1" t="s">
        <v>30</v>
      </c>
      <c r="B161" s="12">
        <v>2021</v>
      </c>
      <c r="C161" s="3">
        <v>301000000000</v>
      </c>
      <c r="D161" s="31">
        <v>25586000000000</v>
      </c>
      <c r="E161" s="15">
        <f t="shared" si="2"/>
        <v>1.1764246072070664E-2</v>
      </c>
    </row>
    <row r="162" spans="1:5" x14ac:dyDescent="0.25">
      <c r="A162" s="1"/>
      <c r="B162" s="12">
        <v>2022</v>
      </c>
      <c r="C162" s="3">
        <v>302500000000</v>
      </c>
      <c r="D162" s="31">
        <v>40420000000000</v>
      </c>
      <c r="E162" s="15">
        <f t="shared" si="2"/>
        <v>7.4839188520534391E-3</v>
      </c>
    </row>
    <row r="163" spans="1:5" x14ac:dyDescent="0.25">
      <c r="A163" s="1"/>
      <c r="B163" s="12">
        <v>2023</v>
      </c>
      <c r="C163" s="3">
        <v>304000000000</v>
      </c>
      <c r="D163" s="31">
        <v>44501000000000</v>
      </c>
      <c r="E163" s="15">
        <f t="shared" si="2"/>
        <v>6.8313071616368168E-3</v>
      </c>
    </row>
    <row r="164" spans="1:5" x14ac:dyDescent="0.25">
      <c r="A164" s="1" t="s">
        <v>31</v>
      </c>
      <c r="B164" s="12">
        <v>2021</v>
      </c>
      <c r="C164" s="3">
        <v>1850000000</v>
      </c>
      <c r="D164" s="31">
        <v>2537845000000</v>
      </c>
      <c r="E164" s="15">
        <f t="shared" si="2"/>
        <v>7.289649289062177E-4</v>
      </c>
    </row>
    <row r="165" spans="1:5" x14ac:dyDescent="0.25">
      <c r="A165" s="1"/>
      <c r="B165" s="12">
        <v>2022</v>
      </c>
      <c r="C165" s="3">
        <f>527500000+523000000+523000000+535500000</f>
        <v>2109000000</v>
      </c>
      <c r="D165" s="31">
        <v>2682220000000</v>
      </c>
      <c r="E165" s="15">
        <f t="shared" si="2"/>
        <v>7.862889695848961E-4</v>
      </c>
    </row>
    <row r="166" spans="1:5" x14ac:dyDescent="0.25">
      <c r="A166" s="1"/>
      <c r="B166" s="12">
        <v>2023</v>
      </c>
      <c r="C166" s="3">
        <v>5632500000</v>
      </c>
      <c r="D166" s="31">
        <v>1233473000000</v>
      </c>
      <c r="E166" s="15">
        <f t="shared" si="2"/>
        <v>4.56637478080185E-3</v>
      </c>
    </row>
    <row r="167" spans="1:5" x14ac:dyDescent="0.25">
      <c r="A167" s="1" t="s">
        <v>32</v>
      </c>
      <c r="B167" s="12">
        <v>2021</v>
      </c>
      <c r="C167" s="3">
        <v>50383101</v>
      </c>
      <c r="D167" s="31">
        <v>188611979146</v>
      </c>
      <c r="E167" s="15">
        <f t="shared" si="2"/>
        <v>2.6712566841260733E-4</v>
      </c>
    </row>
    <row r="168" spans="1:5" x14ac:dyDescent="0.25">
      <c r="A168" s="1"/>
      <c r="B168" s="12">
        <v>2022</v>
      </c>
      <c r="C168" s="3">
        <v>643481159</v>
      </c>
      <c r="D168" s="31">
        <v>312502049594</v>
      </c>
      <c r="E168" s="15">
        <f t="shared" si="2"/>
        <v>2.0591262036073212E-3</v>
      </c>
    </row>
    <row r="169" spans="1:5" x14ac:dyDescent="0.25">
      <c r="A169" s="1"/>
      <c r="B169" s="12">
        <v>2023</v>
      </c>
      <c r="C169" s="3">
        <v>527737445</v>
      </c>
      <c r="D169" s="31">
        <v>440542975412</v>
      </c>
      <c r="E169" s="15">
        <f t="shared" si="2"/>
        <v>1.1979250026775592E-3</v>
      </c>
    </row>
    <row r="170" spans="1:5" x14ac:dyDescent="0.25">
      <c r="A170" s="1" t="s">
        <v>33</v>
      </c>
      <c r="B170" s="12">
        <v>2021</v>
      </c>
      <c r="C170" s="3">
        <v>543200000</v>
      </c>
      <c r="D170" s="31">
        <v>25160193681</v>
      </c>
      <c r="E170" s="15">
        <f t="shared" si="2"/>
        <v>2.1589658922626001E-2</v>
      </c>
    </row>
    <row r="171" spans="1:5" x14ac:dyDescent="0.25">
      <c r="A171" s="1"/>
      <c r="B171" s="12">
        <v>2022</v>
      </c>
      <c r="C171" s="3">
        <v>432100000</v>
      </c>
      <c r="D171" s="31">
        <v>24044260651</v>
      </c>
      <c r="E171" s="15">
        <f t="shared" si="2"/>
        <v>1.7971024614642454E-2</v>
      </c>
    </row>
    <row r="172" spans="1:5" x14ac:dyDescent="0.25">
      <c r="A172" s="1"/>
      <c r="B172" s="12">
        <v>2023</v>
      </c>
      <c r="C172" s="3">
        <v>654000000</v>
      </c>
      <c r="D172" s="31">
        <v>28145515198</v>
      </c>
      <c r="E172" s="15">
        <f t="shared" si="2"/>
        <v>2.3236384034870067E-2</v>
      </c>
    </row>
    <row r="173" spans="1:5" x14ac:dyDescent="0.25">
      <c r="A173" s="1" t="s">
        <v>34</v>
      </c>
      <c r="B173" s="12">
        <v>2021</v>
      </c>
      <c r="C173" s="3">
        <v>287526380</v>
      </c>
      <c r="D173" s="31">
        <v>156736391742</v>
      </c>
      <c r="E173" s="15">
        <f t="shared" si="2"/>
        <v>1.8344583335393495E-3</v>
      </c>
    </row>
    <row r="174" spans="1:5" x14ac:dyDescent="0.25">
      <c r="A174" s="1"/>
      <c r="B174" s="12">
        <v>2022</v>
      </c>
      <c r="C174" s="3">
        <v>274987960</v>
      </c>
      <c r="D174" s="31">
        <v>313410762339</v>
      </c>
      <c r="E174" s="15">
        <f t="shared" si="2"/>
        <v>8.7740433017600061E-4</v>
      </c>
    </row>
    <row r="175" spans="1:5" x14ac:dyDescent="0.25">
      <c r="A175" s="1"/>
      <c r="B175" s="12">
        <v>2023</v>
      </c>
      <c r="C175" s="3">
        <v>347212339</v>
      </c>
      <c r="D175" s="31">
        <v>242417754641</v>
      </c>
      <c r="E175" s="15">
        <f t="shared" si="2"/>
        <v>1.4322892294510023E-3</v>
      </c>
    </row>
    <row r="176" spans="1:5" x14ac:dyDescent="0.25">
      <c r="A176" s="1" t="s">
        <v>35</v>
      </c>
      <c r="B176" s="12">
        <v>2021</v>
      </c>
      <c r="C176" s="3">
        <v>210400000000</v>
      </c>
      <c r="D176" s="31">
        <v>10608267000000</v>
      </c>
      <c r="E176" s="15">
        <f t="shared" si="2"/>
        <v>1.9833588276011529E-2</v>
      </c>
    </row>
    <row r="177" spans="1:5" x14ac:dyDescent="0.25">
      <c r="A177" s="1"/>
      <c r="B177" s="12">
        <v>2022</v>
      </c>
      <c r="C177" s="3">
        <v>229650000000</v>
      </c>
      <c r="D177" s="31">
        <v>22993673000000</v>
      </c>
      <c r="E177" s="15">
        <f t="shared" si="2"/>
        <v>9.9875300479397092E-3</v>
      </c>
    </row>
    <row r="178" spans="1:5" x14ac:dyDescent="0.25">
      <c r="A178" s="1"/>
      <c r="B178" s="12">
        <v>2023</v>
      </c>
      <c r="C178" s="3">
        <v>299460000000</v>
      </c>
      <c r="D178" s="31">
        <v>22130096000000</v>
      </c>
      <c r="E178" s="15">
        <f t="shared" si="2"/>
        <v>1.3531798506432146E-2</v>
      </c>
    </row>
    <row r="179" spans="1:5" x14ac:dyDescent="0.25">
      <c r="A179" s="1" t="s">
        <v>36</v>
      </c>
      <c r="B179" s="12">
        <v>2021</v>
      </c>
      <c r="C179" s="3">
        <v>5765423908</v>
      </c>
      <c r="D179" s="31">
        <v>223780364408</v>
      </c>
      <c r="E179" s="15">
        <f t="shared" si="2"/>
        <v>2.5763761370449757E-2</v>
      </c>
    </row>
    <row r="180" spans="1:5" x14ac:dyDescent="0.25">
      <c r="A180" s="1"/>
      <c r="B180" s="12">
        <v>2022</v>
      </c>
      <c r="C180" s="3">
        <v>7345906548</v>
      </c>
      <c r="D180" s="31">
        <v>225044549724</v>
      </c>
      <c r="E180" s="15">
        <f t="shared" si="2"/>
        <v>3.2642010468634741E-2</v>
      </c>
    </row>
    <row r="181" spans="1:5" x14ac:dyDescent="0.25">
      <c r="A181" s="1"/>
      <c r="B181" s="12">
        <v>2023</v>
      </c>
      <c r="C181" s="3">
        <v>7123086508</v>
      </c>
      <c r="D181" s="31">
        <v>274951561683</v>
      </c>
      <c r="E181" s="15">
        <f t="shared" si="2"/>
        <v>2.5906695944547579E-2</v>
      </c>
    </row>
    <row r="182" spans="1:5" x14ac:dyDescent="0.25">
      <c r="A182" s="1" t="s">
        <v>37</v>
      </c>
      <c r="B182" s="12">
        <v>2021</v>
      </c>
      <c r="C182" s="3">
        <v>341329070</v>
      </c>
      <c r="D182" s="31">
        <v>3442039458</v>
      </c>
      <c r="E182" s="15">
        <f t="shared" si="2"/>
        <v>9.9164775466673336E-2</v>
      </c>
    </row>
    <row r="183" spans="1:5" x14ac:dyDescent="0.25">
      <c r="A183" s="1"/>
      <c r="B183" s="12">
        <v>2022</v>
      </c>
      <c r="C183" s="14">
        <v>532190760</v>
      </c>
      <c r="D183" s="32">
        <v>6110063988</v>
      </c>
      <c r="E183" s="15">
        <f t="shared" si="2"/>
        <v>8.7100685204804434E-2</v>
      </c>
    </row>
    <row r="184" spans="1:5" x14ac:dyDescent="0.25">
      <c r="A184" s="1"/>
      <c r="B184" s="12">
        <v>2023</v>
      </c>
      <c r="C184" s="3">
        <v>412876041</v>
      </c>
      <c r="D184" s="31">
        <v>10159997069</v>
      </c>
      <c r="E184" s="15">
        <f t="shared" si="2"/>
        <v>4.063741733349116E-2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F73B3-2BB9-4567-9BF5-859BB86D3860}">
  <dimension ref="A1:E184"/>
  <sheetViews>
    <sheetView topLeftCell="A163" workbookViewId="0">
      <selection activeCell="J15" sqref="J15"/>
    </sheetView>
  </sheetViews>
  <sheetFormatPr defaultRowHeight="15" x14ac:dyDescent="0.25"/>
  <cols>
    <col min="3" max="3" width="33.42578125" customWidth="1"/>
    <col min="4" max="4" width="31.85546875" customWidth="1"/>
    <col min="5" max="5" width="19.42578125" style="15" customWidth="1"/>
  </cols>
  <sheetData>
    <row r="1" spans="1:5" x14ac:dyDescent="0.25">
      <c r="A1" s="1" t="s">
        <v>0</v>
      </c>
      <c r="B1" s="1" t="s">
        <v>1</v>
      </c>
      <c r="C1" s="38" t="s">
        <v>75</v>
      </c>
      <c r="D1" s="39" t="s">
        <v>74</v>
      </c>
      <c r="E1" s="40" t="s">
        <v>76</v>
      </c>
    </row>
    <row r="2" spans="1:5" x14ac:dyDescent="0.25">
      <c r="A2" s="1" t="s">
        <v>2</v>
      </c>
      <c r="B2" s="1">
        <v>2021</v>
      </c>
      <c r="C2" s="16">
        <v>1</v>
      </c>
      <c r="D2" s="18">
        <v>2</v>
      </c>
      <c r="E2" s="15">
        <f t="shared" ref="E2:E63" si="0">C2/D2</f>
        <v>0.5</v>
      </c>
    </row>
    <row r="3" spans="1:5" x14ac:dyDescent="0.25">
      <c r="A3" s="1"/>
      <c r="B3" s="1">
        <v>2022</v>
      </c>
      <c r="C3" s="16">
        <v>1</v>
      </c>
      <c r="D3" s="18">
        <v>2</v>
      </c>
      <c r="E3" s="15">
        <f t="shared" si="0"/>
        <v>0.5</v>
      </c>
    </row>
    <row r="4" spans="1:5" x14ac:dyDescent="0.25">
      <c r="A4" s="1"/>
      <c r="B4" s="1">
        <v>2023</v>
      </c>
      <c r="C4" s="16">
        <v>1</v>
      </c>
      <c r="D4" s="18">
        <v>2</v>
      </c>
      <c r="E4" s="15">
        <f t="shared" si="0"/>
        <v>0.5</v>
      </c>
    </row>
    <row r="5" spans="1:5" x14ac:dyDescent="0.25">
      <c r="A5" s="1" t="s">
        <v>3</v>
      </c>
      <c r="B5" s="1">
        <v>2021</v>
      </c>
      <c r="C5" s="16">
        <v>2</v>
      </c>
      <c r="D5" s="18">
        <v>4</v>
      </c>
      <c r="E5" s="15">
        <f t="shared" si="0"/>
        <v>0.5</v>
      </c>
    </row>
    <row r="6" spans="1:5" x14ac:dyDescent="0.25">
      <c r="A6" s="1"/>
      <c r="B6" s="1">
        <v>2022</v>
      </c>
      <c r="C6" s="16">
        <v>2</v>
      </c>
      <c r="D6" s="18">
        <v>4</v>
      </c>
      <c r="E6" s="15">
        <f t="shared" si="0"/>
        <v>0.5</v>
      </c>
    </row>
    <row r="7" spans="1:5" x14ac:dyDescent="0.25">
      <c r="A7" s="1"/>
      <c r="B7" s="1">
        <v>2023</v>
      </c>
      <c r="C7" s="16">
        <v>2</v>
      </c>
      <c r="D7" s="18">
        <v>4</v>
      </c>
      <c r="E7" s="15">
        <f t="shared" si="0"/>
        <v>0.5</v>
      </c>
    </row>
    <row r="8" spans="1:5" x14ac:dyDescent="0.25">
      <c r="A8" s="1" t="s">
        <v>4</v>
      </c>
      <c r="B8" s="1">
        <v>2021</v>
      </c>
      <c r="C8" s="16">
        <v>1</v>
      </c>
      <c r="D8" s="18">
        <v>3</v>
      </c>
      <c r="E8" s="15">
        <f t="shared" si="0"/>
        <v>0.33333333333333331</v>
      </c>
    </row>
    <row r="9" spans="1:5" x14ac:dyDescent="0.25">
      <c r="A9" s="1"/>
      <c r="B9" s="1">
        <v>2022</v>
      </c>
      <c r="C9" s="16">
        <v>1</v>
      </c>
      <c r="D9" s="18">
        <v>3</v>
      </c>
      <c r="E9" s="15">
        <f t="shared" si="0"/>
        <v>0.33333333333333331</v>
      </c>
    </row>
    <row r="10" spans="1:5" x14ac:dyDescent="0.25">
      <c r="A10" s="1"/>
      <c r="B10" s="1">
        <v>2023</v>
      </c>
      <c r="C10" s="16">
        <v>1</v>
      </c>
      <c r="D10" s="18">
        <v>3</v>
      </c>
      <c r="E10" s="15">
        <f t="shared" si="0"/>
        <v>0.33333333333333331</v>
      </c>
    </row>
    <row r="11" spans="1:5" x14ac:dyDescent="0.25">
      <c r="A11" s="1" t="s">
        <v>5</v>
      </c>
      <c r="B11" s="1">
        <v>2021</v>
      </c>
      <c r="C11" s="16">
        <v>3</v>
      </c>
      <c r="D11" s="18">
        <v>7</v>
      </c>
      <c r="E11" s="15">
        <f t="shared" si="0"/>
        <v>0.42857142857142855</v>
      </c>
    </row>
    <row r="12" spans="1:5" x14ac:dyDescent="0.25">
      <c r="A12" s="1"/>
      <c r="B12" s="1">
        <v>2022</v>
      </c>
      <c r="C12" s="16">
        <v>3</v>
      </c>
      <c r="D12" s="18">
        <v>7</v>
      </c>
      <c r="E12" s="15">
        <f t="shared" si="0"/>
        <v>0.42857142857142855</v>
      </c>
    </row>
    <row r="13" spans="1:5" x14ac:dyDescent="0.25">
      <c r="A13" s="1"/>
      <c r="B13" s="1">
        <v>2023</v>
      </c>
      <c r="C13" s="16">
        <v>3</v>
      </c>
      <c r="D13" s="18">
        <v>7</v>
      </c>
      <c r="E13" s="15">
        <f t="shared" si="0"/>
        <v>0.42857142857142855</v>
      </c>
    </row>
    <row r="14" spans="1:5" x14ac:dyDescent="0.25">
      <c r="A14" s="1" t="s">
        <v>6</v>
      </c>
      <c r="B14" s="1">
        <v>2021</v>
      </c>
      <c r="C14" s="16">
        <v>2</v>
      </c>
      <c r="D14" s="18">
        <v>4</v>
      </c>
      <c r="E14" s="15">
        <f t="shared" si="0"/>
        <v>0.5</v>
      </c>
    </row>
    <row r="15" spans="1:5" x14ac:dyDescent="0.25">
      <c r="A15" s="1"/>
      <c r="B15" s="1">
        <v>2022</v>
      </c>
      <c r="C15" s="16">
        <v>3</v>
      </c>
      <c r="D15" s="18">
        <v>5</v>
      </c>
      <c r="E15" s="15">
        <f t="shared" si="0"/>
        <v>0.6</v>
      </c>
    </row>
    <row r="16" spans="1:5" x14ac:dyDescent="0.25">
      <c r="A16" s="1"/>
      <c r="B16" s="1">
        <v>2023</v>
      </c>
      <c r="C16" s="16">
        <v>3</v>
      </c>
      <c r="D16" s="18">
        <v>4</v>
      </c>
      <c r="E16" s="15">
        <f t="shared" si="0"/>
        <v>0.75</v>
      </c>
    </row>
    <row r="17" spans="1:5" x14ac:dyDescent="0.25">
      <c r="A17" s="1" t="s">
        <v>7</v>
      </c>
      <c r="B17" s="1">
        <v>2021</v>
      </c>
      <c r="C17" s="16">
        <v>4</v>
      </c>
      <c r="D17" s="18">
        <v>6</v>
      </c>
      <c r="E17" s="15">
        <f t="shared" si="0"/>
        <v>0.66666666666666663</v>
      </c>
    </row>
    <row r="18" spans="1:5" x14ac:dyDescent="0.25">
      <c r="A18" s="1"/>
      <c r="B18" s="1">
        <v>2022</v>
      </c>
      <c r="C18" s="16">
        <v>4</v>
      </c>
      <c r="D18" s="18">
        <v>6</v>
      </c>
      <c r="E18" s="15">
        <f t="shared" si="0"/>
        <v>0.66666666666666663</v>
      </c>
    </row>
    <row r="19" spans="1:5" x14ac:dyDescent="0.25">
      <c r="A19" s="1"/>
      <c r="B19" s="1">
        <v>2023</v>
      </c>
      <c r="C19" s="16">
        <v>4</v>
      </c>
      <c r="D19" s="18">
        <v>6</v>
      </c>
      <c r="E19" s="15">
        <f t="shared" si="0"/>
        <v>0.66666666666666663</v>
      </c>
    </row>
    <row r="20" spans="1:5" x14ac:dyDescent="0.25">
      <c r="A20" s="1" t="s">
        <v>8</v>
      </c>
      <c r="B20" s="1">
        <v>2021</v>
      </c>
      <c r="C20" s="16">
        <v>2</v>
      </c>
      <c r="D20" s="18">
        <v>4</v>
      </c>
      <c r="E20" s="15">
        <f t="shared" si="0"/>
        <v>0.5</v>
      </c>
    </row>
    <row r="21" spans="1:5" x14ac:dyDescent="0.25">
      <c r="A21" s="1"/>
      <c r="B21" s="1">
        <v>2022</v>
      </c>
      <c r="C21" s="16">
        <v>1</v>
      </c>
      <c r="D21" s="18">
        <v>3</v>
      </c>
      <c r="E21" s="15">
        <f t="shared" si="0"/>
        <v>0.33333333333333331</v>
      </c>
    </row>
    <row r="22" spans="1:5" x14ac:dyDescent="0.25">
      <c r="A22" s="1"/>
      <c r="B22" s="1">
        <v>2023</v>
      </c>
      <c r="C22" s="16">
        <v>2</v>
      </c>
      <c r="D22" s="18">
        <v>4</v>
      </c>
      <c r="E22" s="15">
        <f t="shared" si="0"/>
        <v>0.5</v>
      </c>
    </row>
    <row r="23" spans="1:5" x14ac:dyDescent="0.25">
      <c r="A23" s="1" t="s">
        <v>9</v>
      </c>
      <c r="B23" s="1">
        <v>2021</v>
      </c>
      <c r="C23" s="16">
        <v>1</v>
      </c>
      <c r="D23" s="18">
        <v>4</v>
      </c>
      <c r="E23" s="15">
        <f t="shared" si="0"/>
        <v>0.25</v>
      </c>
    </row>
    <row r="24" spans="1:5" x14ac:dyDescent="0.25">
      <c r="A24" s="1"/>
      <c r="B24" s="1">
        <v>2022</v>
      </c>
      <c r="C24" s="16">
        <v>1</v>
      </c>
      <c r="D24" s="18">
        <v>4</v>
      </c>
      <c r="E24" s="15">
        <f t="shared" si="0"/>
        <v>0.25</v>
      </c>
    </row>
    <row r="25" spans="1:5" x14ac:dyDescent="0.25">
      <c r="A25" s="1"/>
      <c r="B25" s="1">
        <v>2023</v>
      </c>
      <c r="C25" s="16">
        <v>1</v>
      </c>
      <c r="D25" s="18">
        <v>3</v>
      </c>
      <c r="E25" s="15">
        <f t="shared" si="0"/>
        <v>0.33333333333333331</v>
      </c>
    </row>
    <row r="26" spans="1:5" x14ac:dyDescent="0.25">
      <c r="A26" s="1" t="s">
        <v>10</v>
      </c>
      <c r="B26" s="1">
        <v>2021</v>
      </c>
      <c r="C26" s="16">
        <v>2</v>
      </c>
      <c r="D26" s="18">
        <v>7</v>
      </c>
      <c r="E26" s="15">
        <f t="shared" si="0"/>
        <v>0.2857142857142857</v>
      </c>
    </row>
    <row r="27" spans="1:5" x14ac:dyDescent="0.25">
      <c r="A27" s="1"/>
      <c r="B27" s="1">
        <v>2022</v>
      </c>
      <c r="C27" s="16">
        <v>2</v>
      </c>
      <c r="D27" s="18">
        <v>7</v>
      </c>
      <c r="E27" s="15">
        <f t="shared" si="0"/>
        <v>0.2857142857142857</v>
      </c>
    </row>
    <row r="28" spans="1:5" x14ac:dyDescent="0.25">
      <c r="A28" s="1"/>
      <c r="B28" s="1">
        <v>2023</v>
      </c>
      <c r="C28" s="16">
        <v>2</v>
      </c>
      <c r="D28" s="18">
        <v>7</v>
      </c>
      <c r="E28" s="15">
        <f t="shared" si="0"/>
        <v>0.2857142857142857</v>
      </c>
    </row>
    <row r="29" spans="1:5" x14ac:dyDescent="0.25">
      <c r="A29" s="1" t="s">
        <v>11</v>
      </c>
      <c r="B29" s="1">
        <v>2021</v>
      </c>
      <c r="C29" s="16">
        <v>3</v>
      </c>
      <c r="D29" s="18">
        <v>4</v>
      </c>
      <c r="E29" s="15">
        <f t="shared" si="0"/>
        <v>0.75</v>
      </c>
    </row>
    <row r="30" spans="1:5" x14ac:dyDescent="0.25">
      <c r="A30" s="1"/>
      <c r="B30" s="1">
        <v>2022</v>
      </c>
      <c r="C30" s="16">
        <v>3</v>
      </c>
      <c r="D30" s="18">
        <v>4</v>
      </c>
      <c r="E30" s="15">
        <f t="shared" si="0"/>
        <v>0.75</v>
      </c>
    </row>
    <row r="31" spans="1:5" x14ac:dyDescent="0.25">
      <c r="A31" s="1"/>
      <c r="B31" s="1">
        <v>2023</v>
      </c>
      <c r="C31" s="16">
        <v>3</v>
      </c>
      <c r="D31" s="18">
        <v>4</v>
      </c>
      <c r="E31" s="15">
        <f t="shared" si="0"/>
        <v>0.75</v>
      </c>
    </row>
    <row r="32" spans="1:5" x14ac:dyDescent="0.25">
      <c r="A32" s="1" t="s">
        <v>12</v>
      </c>
      <c r="B32" s="1">
        <v>2021</v>
      </c>
      <c r="C32" s="16">
        <v>1</v>
      </c>
      <c r="D32" s="18">
        <v>4</v>
      </c>
      <c r="E32" s="15">
        <f t="shared" si="0"/>
        <v>0.25</v>
      </c>
    </row>
    <row r="33" spans="1:5" x14ac:dyDescent="0.25">
      <c r="A33" s="1"/>
      <c r="B33" s="1">
        <v>2022</v>
      </c>
      <c r="C33" s="16">
        <v>2</v>
      </c>
      <c r="D33" s="18">
        <v>5</v>
      </c>
      <c r="E33" s="15">
        <f t="shared" si="0"/>
        <v>0.4</v>
      </c>
    </row>
    <row r="34" spans="1:5" x14ac:dyDescent="0.25">
      <c r="A34" s="1"/>
      <c r="B34" s="1">
        <v>2023</v>
      </c>
      <c r="C34" s="16">
        <v>2</v>
      </c>
      <c r="D34" s="18">
        <v>5</v>
      </c>
      <c r="E34" s="15">
        <f t="shared" si="0"/>
        <v>0.4</v>
      </c>
    </row>
    <row r="35" spans="1:5" x14ac:dyDescent="0.25">
      <c r="A35" s="1" t="s">
        <v>13</v>
      </c>
      <c r="B35" s="1">
        <v>2021</v>
      </c>
      <c r="C35" s="16">
        <v>1</v>
      </c>
      <c r="D35" s="18">
        <v>2</v>
      </c>
      <c r="E35" s="15">
        <f t="shared" si="0"/>
        <v>0.5</v>
      </c>
    </row>
    <row r="36" spans="1:5" x14ac:dyDescent="0.25">
      <c r="A36" s="1"/>
      <c r="B36" s="1">
        <v>2022</v>
      </c>
      <c r="C36" s="16">
        <v>1</v>
      </c>
      <c r="D36" s="18">
        <v>2</v>
      </c>
      <c r="E36" s="15">
        <f t="shared" si="0"/>
        <v>0.5</v>
      </c>
    </row>
    <row r="37" spans="1:5" x14ac:dyDescent="0.25">
      <c r="A37" s="1"/>
      <c r="B37" s="1">
        <v>2023</v>
      </c>
      <c r="C37" s="16">
        <v>1</v>
      </c>
      <c r="D37" s="18">
        <v>2</v>
      </c>
      <c r="E37" s="15">
        <f t="shared" si="0"/>
        <v>0.5</v>
      </c>
    </row>
    <row r="38" spans="1:5" x14ac:dyDescent="0.25">
      <c r="A38" s="1" t="s">
        <v>14</v>
      </c>
      <c r="B38" s="1">
        <v>2021</v>
      </c>
      <c r="C38" s="16">
        <v>2</v>
      </c>
      <c r="D38" s="18">
        <v>6</v>
      </c>
      <c r="E38" s="15">
        <f t="shared" si="0"/>
        <v>0.33333333333333331</v>
      </c>
    </row>
    <row r="39" spans="1:5" x14ac:dyDescent="0.25">
      <c r="A39" s="1"/>
      <c r="B39" s="1">
        <v>2022</v>
      </c>
      <c r="C39" s="16">
        <v>2</v>
      </c>
      <c r="D39" s="18">
        <v>6</v>
      </c>
      <c r="E39" s="15">
        <f t="shared" si="0"/>
        <v>0.33333333333333331</v>
      </c>
    </row>
    <row r="40" spans="1:5" x14ac:dyDescent="0.25">
      <c r="A40" s="1"/>
      <c r="B40" s="1">
        <v>2023</v>
      </c>
      <c r="C40" s="16">
        <v>2</v>
      </c>
      <c r="D40" s="18">
        <v>6</v>
      </c>
      <c r="E40" s="15">
        <f t="shared" si="0"/>
        <v>0.33333333333333331</v>
      </c>
    </row>
    <row r="41" spans="1:5" x14ac:dyDescent="0.25">
      <c r="A41" s="1" t="s">
        <v>15</v>
      </c>
      <c r="B41" s="1">
        <v>2021</v>
      </c>
      <c r="C41" s="16">
        <v>1</v>
      </c>
      <c r="D41" s="18">
        <v>3</v>
      </c>
      <c r="E41" s="15">
        <f t="shared" si="0"/>
        <v>0.33333333333333331</v>
      </c>
    </row>
    <row r="42" spans="1:5" x14ac:dyDescent="0.25">
      <c r="A42" s="1"/>
      <c r="B42" s="1">
        <v>2022</v>
      </c>
      <c r="C42" s="16">
        <v>1</v>
      </c>
      <c r="D42" s="18">
        <v>3</v>
      </c>
      <c r="E42" s="15">
        <f t="shared" si="0"/>
        <v>0.33333333333333331</v>
      </c>
    </row>
    <row r="43" spans="1:5" x14ac:dyDescent="0.25">
      <c r="A43" s="1"/>
      <c r="B43" s="1">
        <v>2023</v>
      </c>
      <c r="C43" s="16">
        <v>1</v>
      </c>
      <c r="D43" s="18">
        <v>3</v>
      </c>
      <c r="E43" s="15">
        <f t="shared" si="0"/>
        <v>0.33333333333333331</v>
      </c>
    </row>
    <row r="44" spans="1:5" x14ac:dyDescent="0.25">
      <c r="A44" s="1" t="s">
        <v>16</v>
      </c>
      <c r="B44" s="1">
        <v>2021</v>
      </c>
      <c r="C44" s="16">
        <v>1</v>
      </c>
      <c r="D44" s="18">
        <v>3</v>
      </c>
      <c r="E44" s="15">
        <f t="shared" si="0"/>
        <v>0.33333333333333331</v>
      </c>
    </row>
    <row r="45" spans="1:5" x14ac:dyDescent="0.25">
      <c r="A45" s="1"/>
      <c r="B45" s="1">
        <v>2022</v>
      </c>
      <c r="C45" s="16">
        <v>1</v>
      </c>
      <c r="D45" s="18">
        <v>3</v>
      </c>
      <c r="E45" s="15">
        <f t="shared" si="0"/>
        <v>0.33333333333333331</v>
      </c>
    </row>
    <row r="46" spans="1:5" x14ac:dyDescent="0.25">
      <c r="A46" s="1"/>
      <c r="B46" s="1">
        <v>2023</v>
      </c>
      <c r="C46" s="16">
        <v>1</v>
      </c>
      <c r="D46" s="18">
        <v>3</v>
      </c>
      <c r="E46" s="15">
        <f t="shared" si="0"/>
        <v>0.33333333333333331</v>
      </c>
    </row>
    <row r="47" spans="1:5" x14ac:dyDescent="0.25">
      <c r="A47" s="1" t="s">
        <v>17</v>
      </c>
      <c r="B47" s="1">
        <v>2021</v>
      </c>
      <c r="C47" s="16">
        <v>1</v>
      </c>
      <c r="D47" s="18">
        <v>2</v>
      </c>
      <c r="E47" s="15">
        <f t="shared" si="0"/>
        <v>0.5</v>
      </c>
    </row>
    <row r="48" spans="1:5" x14ac:dyDescent="0.25">
      <c r="A48" s="1"/>
      <c r="B48" s="1">
        <v>2022</v>
      </c>
      <c r="C48" s="16">
        <v>1</v>
      </c>
      <c r="D48" s="18">
        <v>2</v>
      </c>
      <c r="E48" s="15">
        <f t="shared" si="0"/>
        <v>0.5</v>
      </c>
    </row>
    <row r="49" spans="1:5" x14ac:dyDescent="0.25">
      <c r="A49" s="1"/>
      <c r="B49" s="1">
        <v>2023</v>
      </c>
      <c r="C49" s="16">
        <v>1</v>
      </c>
      <c r="D49" s="18">
        <v>2</v>
      </c>
      <c r="E49" s="15">
        <f t="shared" si="0"/>
        <v>0.5</v>
      </c>
    </row>
    <row r="50" spans="1:5" x14ac:dyDescent="0.25">
      <c r="A50" s="2" t="s">
        <v>18</v>
      </c>
      <c r="B50" s="1">
        <v>2021</v>
      </c>
      <c r="C50" s="16">
        <v>2</v>
      </c>
      <c r="D50" s="18">
        <v>4</v>
      </c>
      <c r="E50" s="15">
        <f t="shared" si="0"/>
        <v>0.5</v>
      </c>
    </row>
    <row r="51" spans="1:5" x14ac:dyDescent="0.25">
      <c r="A51" s="2"/>
      <c r="B51" s="1">
        <v>2022</v>
      </c>
      <c r="C51" s="16">
        <v>2</v>
      </c>
      <c r="D51" s="18">
        <v>4</v>
      </c>
      <c r="E51" s="15">
        <f t="shared" si="0"/>
        <v>0.5</v>
      </c>
    </row>
    <row r="52" spans="1:5" x14ac:dyDescent="0.25">
      <c r="A52" s="2"/>
      <c r="B52" s="1">
        <v>2023</v>
      </c>
      <c r="C52" s="16">
        <v>2</v>
      </c>
      <c r="D52" s="18">
        <v>4</v>
      </c>
      <c r="E52" s="15">
        <f t="shared" si="0"/>
        <v>0.5</v>
      </c>
    </row>
    <row r="53" spans="1:5" x14ac:dyDescent="0.25">
      <c r="A53" s="2" t="s">
        <v>19</v>
      </c>
      <c r="B53" s="1">
        <v>2021</v>
      </c>
      <c r="C53" s="16">
        <v>1</v>
      </c>
      <c r="D53" s="18">
        <v>3</v>
      </c>
      <c r="E53" s="15">
        <f t="shared" si="0"/>
        <v>0.33333333333333331</v>
      </c>
    </row>
    <row r="54" spans="1:5" x14ac:dyDescent="0.25">
      <c r="A54" s="2"/>
      <c r="B54" s="1">
        <v>2022</v>
      </c>
      <c r="C54" s="16">
        <v>1</v>
      </c>
      <c r="D54" s="18">
        <v>3</v>
      </c>
      <c r="E54" s="15">
        <f t="shared" si="0"/>
        <v>0.33333333333333331</v>
      </c>
    </row>
    <row r="55" spans="1:5" x14ac:dyDescent="0.25">
      <c r="A55" s="2"/>
      <c r="B55" s="1">
        <v>2023</v>
      </c>
      <c r="C55" s="16">
        <v>1</v>
      </c>
      <c r="D55" s="18">
        <v>3</v>
      </c>
      <c r="E55" s="15">
        <f t="shared" si="0"/>
        <v>0.33333333333333331</v>
      </c>
    </row>
    <row r="56" spans="1:5" x14ac:dyDescent="0.25">
      <c r="A56" s="2" t="s">
        <v>20</v>
      </c>
      <c r="B56" s="1">
        <v>2021</v>
      </c>
      <c r="C56" s="16">
        <v>1</v>
      </c>
      <c r="D56" s="18">
        <v>3</v>
      </c>
      <c r="E56" s="15">
        <f t="shared" si="0"/>
        <v>0.33333333333333331</v>
      </c>
    </row>
    <row r="57" spans="1:5" x14ac:dyDescent="0.25">
      <c r="A57" s="2"/>
      <c r="B57" s="1">
        <v>2022</v>
      </c>
      <c r="C57" s="16">
        <v>1</v>
      </c>
      <c r="D57" s="18">
        <v>3</v>
      </c>
      <c r="E57" s="15">
        <f t="shared" si="0"/>
        <v>0.33333333333333331</v>
      </c>
    </row>
    <row r="58" spans="1:5" x14ac:dyDescent="0.25">
      <c r="A58" s="2"/>
      <c r="B58" s="1">
        <v>2023</v>
      </c>
      <c r="C58" s="16">
        <v>2</v>
      </c>
      <c r="D58" s="18">
        <v>4</v>
      </c>
      <c r="E58" s="15">
        <f t="shared" si="0"/>
        <v>0.5</v>
      </c>
    </row>
    <row r="59" spans="1:5" x14ac:dyDescent="0.25">
      <c r="A59" s="2" t="s">
        <v>21</v>
      </c>
      <c r="B59" s="1">
        <v>2021</v>
      </c>
      <c r="C59" s="16">
        <v>1</v>
      </c>
      <c r="D59" s="18">
        <v>3</v>
      </c>
      <c r="E59" s="15">
        <f t="shared" si="0"/>
        <v>0.33333333333333331</v>
      </c>
    </row>
    <row r="60" spans="1:5" x14ac:dyDescent="0.25">
      <c r="A60" s="2"/>
      <c r="B60" s="1">
        <v>2022</v>
      </c>
      <c r="C60" s="16">
        <v>1</v>
      </c>
      <c r="D60" s="18">
        <v>3</v>
      </c>
      <c r="E60" s="15">
        <f t="shared" si="0"/>
        <v>0.33333333333333331</v>
      </c>
    </row>
    <row r="61" spans="1:5" x14ac:dyDescent="0.25">
      <c r="A61" s="2"/>
      <c r="B61" s="1">
        <v>2023</v>
      </c>
      <c r="C61" s="16">
        <v>1</v>
      </c>
      <c r="D61" s="18">
        <v>2</v>
      </c>
      <c r="E61" s="15">
        <f t="shared" si="0"/>
        <v>0.5</v>
      </c>
    </row>
    <row r="62" spans="1:5" x14ac:dyDescent="0.25">
      <c r="A62" s="2" t="s">
        <v>22</v>
      </c>
      <c r="B62" s="1">
        <v>2021</v>
      </c>
      <c r="C62" s="16">
        <v>1</v>
      </c>
      <c r="D62" s="18">
        <v>3</v>
      </c>
      <c r="E62" s="15">
        <f t="shared" si="0"/>
        <v>0.33333333333333331</v>
      </c>
    </row>
    <row r="63" spans="1:5" x14ac:dyDescent="0.25">
      <c r="A63" s="2"/>
      <c r="B63" s="1">
        <v>2022</v>
      </c>
      <c r="C63" s="16">
        <v>1</v>
      </c>
      <c r="D63" s="18">
        <v>3</v>
      </c>
      <c r="E63" s="15">
        <f t="shared" si="0"/>
        <v>0.33333333333333331</v>
      </c>
    </row>
    <row r="64" spans="1:5" x14ac:dyDescent="0.25">
      <c r="A64" s="2"/>
      <c r="B64" s="1">
        <v>2023</v>
      </c>
      <c r="C64" s="16">
        <v>2</v>
      </c>
      <c r="D64" s="18">
        <v>4</v>
      </c>
      <c r="E64" s="15">
        <f t="shared" ref="E64:E127" si="1">C64/D64</f>
        <v>0.5</v>
      </c>
    </row>
    <row r="65" spans="1:5" x14ac:dyDescent="0.25">
      <c r="A65" s="2" t="s">
        <v>23</v>
      </c>
      <c r="B65" s="1">
        <v>2021</v>
      </c>
      <c r="C65" s="16">
        <v>3</v>
      </c>
      <c r="D65" s="18">
        <v>9</v>
      </c>
      <c r="E65" s="15">
        <f t="shared" si="1"/>
        <v>0.33333333333333331</v>
      </c>
    </row>
    <row r="66" spans="1:5" x14ac:dyDescent="0.25">
      <c r="A66" s="2"/>
      <c r="B66" s="1">
        <v>2022</v>
      </c>
      <c r="C66" s="16">
        <v>3</v>
      </c>
      <c r="D66" s="18">
        <v>9</v>
      </c>
      <c r="E66" s="15">
        <f t="shared" si="1"/>
        <v>0.33333333333333331</v>
      </c>
    </row>
    <row r="67" spans="1:5" x14ac:dyDescent="0.25">
      <c r="A67" s="2"/>
      <c r="B67" s="1">
        <v>2023</v>
      </c>
      <c r="C67" s="16">
        <v>3</v>
      </c>
      <c r="D67" s="18">
        <v>9</v>
      </c>
      <c r="E67" s="15">
        <f t="shared" si="1"/>
        <v>0.33333333333333331</v>
      </c>
    </row>
    <row r="68" spans="1:5" x14ac:dyDescent="0.25">
      <c r="A68" s="2" t="s">
        <v>24</v>
      </c>
      <c r="B68" s="1">
        <v>2021</v>
      </c>
      <c r="C68" s="16">
        <v>2</v>
      </c>
      <c r="D68" s="18">
        <v>4</v>
      </c>
      <c r="E68" s="15">
        <f t="shared" si="1"/>
        <v>0.5</v>
      </c>
    </row>
    <row r="69" spans="1:5" x14ac:dyDescent="0.25">
      <c r="A69" s="2"/>
      <c r="B69" s="1">
        <v>2022</v>
      </c>
      <c r="C69" s="16">
        <v>2</v>
      </c>
      <c r="D69" s="18">
        <v>4</v>
      </c>
      <c r="E69" s="15">
        <f t="shared" si="1"/>
        <v>0.5</v>
      </c>
    </row>
    <row r="70" spans="1:5" x14ac:dyDescent="0.25">
      <c r="A70" s="2"/>
      <c r="B70" s="1">
        <v>2023</v>
      </c>
      <c r="C70" s="16">
        <v>2</v>
      </c>
      <c r="D70" s="18">
        <v>4</v>
      </c>
      <c r="E70" s="15">
        <f t="shared" si="1"/>
        <v>0.5</v>
      </c>
    </row>
    <row r="71" spans="1:5" x14ac:dyDescent="0.25">
      <c r="A71" s="2" t="s">
        <v>25</v>
      </c>
      <c r="B71" s="1">
        <v>2021</v>
      </c>
      <c r="C71" s="16">
        <v>3</v>
      </c>
      <c r="D71" s="18">
        <v>6</v>
      </c>
      <c r="E71" s="15">
        <f t="shared" si="1"/>
        <v>0.5</v>
      </c>
    </row>
    <row r="72" spans="1:5" x14ac:dyDescent="0.25">
      <c r="A72" s="2"/>
      <c r="B72" s="1">
        <v>2022</v>
      </c>
      <c r="C72" s="16">
        <v>3</v>
      </c>
      <c r="D72" s="18">
        <v>6</v>
      </c>
      <c r="E72" s="15">
        <f t="shared" si="1"/>
        <v>0.5</v>
      </c>
    </row>
    <row r="73" spans="1:5" x14ac:dyDescent="0.25">
      <c r="A73" s="2"/>
      <c r="B73" s="1">
        <v>2023</v>
      </c>
      <c r="C73" s="16">
        <v>2</v>
      </c>
      <c r="D73" s="18">
        <v>5</v>
      </c>
      <c r="E73" s="15">
        <f t="shared" si="1"/>
        <v>0.4</v>
      </c>
    </row>
    <row r="74" spans="1:5" x14ac:dyDescent="0.25">
      <c r="A74" s="2" t="s">
        <v>26</v>
      </c>
      <c r="B74" s="1">
        <v>2021</v>
      </c>
      <c r="C74" s="16">
        <v>3</v>
      </c>
      <c r="D74" s="18">
        <v>8</v>
      </c>
      <c r="E74" s="15">
        <f t="shared" si="1"/>
        <v>0.375</v>
      </c>
    </row>
    <row r="75" spans="1:5" x14ac:dyDescent="0.25">
      <c r="A75" s="2"/>
      <c r="B75" s="1">
        <v>2022</v>
      </c>
      <c r="C75" s="16">
        <v>3</v>
      </c>
      <c r="D75" s="18">
        <v>8</v>
      </c>
      <c r="E75" s="15">
        <f t="shared" si="1"/>
        <v>0.375</v>
      </c>
    </row>
    <row r="76" spans="1:5" x14ac:dyDescent="0.25">
      <c r="A76" s="2"/>
      <c r="B76" s="1">
        <v>2023</v>
      </c>
      <c r="C76" s="16">
        <v>3</v>
      </c>
      <c r="D76" s="18">
        <v>8</v>
      </c>
      <c r="E76" s="15">
        <f t="shared" si="1"/>
        <v>0.375</v>
      </c>
    </row>
    <row r="77" spans="1:5" x14ac:dyDescent="0.25">
      <c r="A77" s="2" t="s">
        <v>27</v>
      </c>
      <c r="B77" s="1">
        <v>2021</v>
      </c>
      <c r="C77" s="16">
        <v>1</v>
      </c>
      <c r="D77" s="18">
        <v>3</v>
      </c>
      <c r="E77" s="15">
        <f t="shared" si="1"/>
        <v>0.33333333333333331</v>
      </c>
    </row>
    <row r="78" spans="1:5" x14ac:dyDescent="0.25">
      <c r="A78" s="2"/>
      <c r="B78" s="1">
        <v>2022</v>
      </c>
      <c r="C78" s="16">
        <v>2</v>
      </c>
      <c r="D78" s="18">
        <v>4</v>
      </c>
      <c r="E78" s="15">
        <f t="shared" si="1"/>
        <v>0.5</v>
      </c>
    </row>
    <row r="79" spans="1:5" x14ac:dyDescent="0.25">
      <c r="A79" s="2"/>
      <c r="B79" s="1">
        <v>2023</v>
      </c>
      <c r="C79" s="16">
        <v>2</v>
      </c>
      <c r="D79" s="18">
        <v>4</v>
      </c>
      <c r="E79" s="15">
        <f t="shared" si="1"/>
        <v>0.5</v>
      </c>
    </row>
    <row r="80" spans="1:5" x14ac:dyDescent="0.25">
      <c r="A80" s="2" t="s">
        <v>47</v>
      </c>
      <c r="B80" s="1">
        <v>2021</v>
      </c>
      <c r="C80" s="16">
        <v>2</v>
      </c>
      <c r="D80" s="18">
        <v>5</v>
      </c>
      <c r="E80" s="15">
        <f t="shared" si="1"/>
        <v>0.4</v>
      </c>
    </row>
    <row r="81" spans="1:5" x14ac:dyDescent="0.25">
      <c r="A81" s="2"/>
      <c r="B81" s="1">
        <v>2022</v>
      </c>
      <c r="C81" s="16">
        <v>2</v>
      </c>
      <c r="D81" s="18">
        <v>5</v>
      </c>
      <c r="E81" s="15">
        <f t="shared" si="1"/>
        <v>0.4</v>
      </c>
    </row>
    <row r="82" spans="1:5" x14ac:dyDescent="0.25">
      <c r="A82" s="2"/>
      <c r="B82" s="1">
        <v>2023</v>
      </c>
      <c r="C82" s="16">
        <v>2</v>
      </c>
      <c r="D82" s="18">
        <v>5</v>
      </c>
      <c r="E82" s="15">
        <f t="shared" si="1"/>
        <v>0.4</v>
      </c>
    </row>
    <row r="83" spans="1:5" x14ac:dyDescent="0.25">
      <c r="A83" s="2" t="s">
        <v>48</v>
      </c>
      <c r="B83" s="1">
        <v>2021</v>
      </c>
      <c r="C83" s="16">
        <v>3</v>
      </c>
      <c r="D83" s="18">
        <v>5</v>
      </c>
      <c r="E83" s="15">
        <f t="shared" si="1"/>
        <v>0.6</v>
      </c>
    </row>
    <row r="84" spans="1:5" x14ac:dyDescent="0.25">
      <c r="A84" s="2"/>
      <c r="B84" s="1">
        <v>2022</v>
      </c>
      <c r="C84" s="16">
        <v>3</v>
      </c>
      <c r="D84" s="18">
        <v>5</v>
      </c>
      <c r="E84" s="15">
        <f t="shared" si="1"/>
        <v>0.6</v>
      </c>
    </row>
    <row r="85" spans="1:5" x14ac:dyDescent="0.25">
      <c r="A85" s="2"/>
      <c r="B85" s="1">
        <v>2023</v>
      </c>
      <c r="C85" s="16">
        <v>3</v>
      </c>
      <c r="D85" s="18">
        <v>5</v>
      </c>
      <c r="E85" s="15">
        <f t="shared" si="1"/>
        <v>0.6</v>
      </c>
    </row>
    <row r="86" spans="1:5" x14ac:dyDescent="0.25">
      <c r="A86" s="2" t="s">
        <v>49</v>
      </c>
      <c r="B86" s="1">
        <v>2021</v>
      </c>
      <c r="C86" s="16">
        <v>3</v>
      </c>
      <c r="D86" s="18">
        <v>6</v>
      </c>
      <c r="E86" s="15">
        <f t="shared" si="1"/>
        <v>0.5</v>
      </c>
    </row>
    <row r="87" spans="1:5" x14ac:dyDescent="0.25">
      <c r="A87" s="2"/>
      <c r="B87" s="1">
        <v>2022</v>
      </c>
      <c r="C87" s="16">
        <v>3</v>
      </c>
      <c r="D87" s="18">
        <v>6</v>
      </c>
      <c r="E87" s="15">
        <f t="shared" si="1"/>
        <v>0.5</v>
      </c>
    </row>
    <row r="88" spans="1:5" x14ac:dyDescent="0.25">
      <c r="A88" s="2"/>
      <c r="B88" s="1">
        <v>2023</v>
      </c>
      <c r="C88" s="16">
        <v>2</v>
      </c>
      <c r="D88" s="18">
        <v>5</v>
      </c>
      <c r="E88" s="15">
        <f t="shared" si="1"/>
        <v>0.4</v>
      </c>
    </row>
    <row r="89" spans="1:5" x14ac:dyDescent="0.25">
      <c r="A89" s="2" t="s">
        <v>50</v>
      </c>
      <c r="B89" s="1">
        <v>2021</v>
      </c>
      <c r="C89" s="16">
        <v>2</v>
      </c>
      <c r="D89" s="18">
        <v>5</v>
      </c>
      <c r="E89" s="15">
        <f t="shared" si="1"/>
        <v>0.4</v>
      </c>
    </row>
    <row r="90" spans="1:5" x14ac:dyDescent="0.25">
      <c r="A90" s="2"/>
      <c r="B90" s="1">
        <v>2022</v>
      </c>
      <c r="C90" s="16">
        <v>2</v>
      </c>
      <c r="D90" s="18">
        <v>5</v>
      </c>
      <c r="E90" s="15">
        <f t="shared" si="1"/>
        <v>0.4</v>
      </c>
    </row>
    <row r="91" spans="1:5" x14ac:dyDescent="0.25">
      <c r="A91" s="2"/>
      <c r="B91" s="1">
        <v>2023</v>
      </c>
      <c r="C91" s="16">
        <v>2</v>
      </c>
      <c r="D91" s="18">
        <v>5</v>
      </c>
      <c r="E91" s="15">
        <f t="shared" si="1"/>
        <v>0.4</v>
      </c>
    </row>
    <row r="92" spans="1:5" x14ac:dyDescent="0.25">
      <c r="A92" s="2" t="s">
        <v>51</v>
      </c>
      <c r="B92" s="1">
        <v>2021</v>
      </c>
      <c r="C92" s="16">
        <v>1</v>
      </c>
      <c r="D92" s="18">
        <v>3</v>
      </c>
      <c r="E92" s="15">
        <f t="shared" si="1"/>
        <v>0.33333333333333331</v>
      </c>
    </row>
    <row r="93" spans="1:5" x14ac:dyDescent="0.25">
      <c r="A93" s="2"/>
      <c r="B93" s="1">
        <v>2022</v>
      </c>
      <c r="C93" s="16">
        <v>1</v>
      </c>
      <c r="D93" s="18">
        <v>3</v>
      </c>
      <c r="E93" s="15">
        <f t="shared" si="1"/>
        <v>0.33333333333333331</v>
      </c>
    </row>
    <row r="94" spans="1:5" x14ac:dyDescent="0.25">
      <c r="A94" s="2"/>
      <c r="B94" s="1">
        <v>2023</v>
      </c>
      <c r="C94" s="16">
        <v>1</v>
      </c>
      <c r="D94" s="18">
        <v>3</v>
      </c>
      <c r="E94" s="15">
        <f t="shared" si="1"/>
        <v>0.33333333333333331</v>
      </c>
    </row>
    <row r="95" spans="1:5" x14ac:dyDescent="0.25">
      <c r="A95" s="2" t="s">
        <v>52</v>
      </c>
      <c r="B95" s="1">
        <v>2021</v>
      </c>
      <c r="C95" s="16">
        <v>1</v>
      </c>
      <c r="D95" s="18">
        <v>3</v>
      </c>
      <c r="E95" s="15">
        <f t="shared" si="1"/>
        <v>0.33333333333333331</v>
      </c>
    </row>
    <row r="96" spans="1:5" x14ac:dyDescent="0.25">
      <c r="A96" s="2"/>
      <c r="B96" s="1">
        <v>2022</v>
      </c>
      <c r="C96" s="16">
        <v>1</v>
      </c>
      <c r="D96" s="18">
        <v>3</v>
      </c>
      <c r="E96" s="15">
        <f t="shared" si="1"/>
        <v>0.33333333333333331</v>
      </c>
    </row>
    <row r="97" spans="1:5" x14ac:dyDescent="0.25">
      <c r="A97" s="2"/>
      <c r="B97" s="1">
        <v>2023</v>
      </c>
      <c r="C97" s="16">
        <v>1</v>
      </c>
      <c r="D97" s="18">
        <v>3</v>
      </c>
      <c r="E97" s="15">
        <f t="shared" si="1"/>
        <v>0.33333333333333331</v>
      </c>
    </row>
    <row r="98" spans="1:5" x14ac:dyDescent="0.25">
      <c r="A98" s="2" t="s">
        <v>53</v>
      </c>
      <c r="B98" s="1">
        <v>2021</v>
      </c>
      <c r="C98" s="16">
        <v>3</v>
      </c>
      <c r="D98" s="18">
        <v>7</v>
      </c>
      <c r="E98" s="15">
        <f t="shared" si="1"/>
        <v>0.42857142857142855</v>
      </c>
    </row>
    <row r="99" spans="1:5" x14ac:dyDescent="0.25">
      <c r="A99" s="2"/>
      <c r="B99" s="1">
        <v>2022</v>
      </c>
      <c r="C99" s="16">
        <v>3</v>
      </c>
      <c r="D99" s="18">
        <v>7</v>
      </c>
      <c r="E99" s="15">
        <f t="shared" si="1"/>
        <v>0.42857142857142855</v>
      </c>
    </row>
    <row r="100" spans="1:5" x14ac:dyDescent="0.25">
      <c r="A100" s="2"/>
      <c r="B100" s="1">
        <v>2023</v>
      </c>
      <c r="C100" s="16">
        <v>3</v>
      </c>
      <c r="D100" s="18">
        <v>7</v>
      </c>
      <c r="E100" s="15">
        <f t="shared" si="1"/>
        <v>0.42857142857142855</v>
      </c>
    </row>
    <row r="101" spans="1:5" x14ac:dyDescent="0.25">
      <c r="A101" s="2" t="s">
        <v>54</v>
      </c>
      <c r="B101" s="1">
        <v>2021</v>
      </c>
      <c r="C101" s="16">
        <v>1</v>
      </c>
      <c r="D101" s="18">
        <v>2</v>
      </c>
      <c r="E101" s="15">
        <f t="shared" si="1"/>
        <v>0.5</v>
      </c>
    </row>
    <row r="102" spans="1:5" x14ac:dyDescent="0.25">
      <c r="A102" s="2"/>
      <c r="B102" s="1">
        <v>2022</v>
      </c>
      <c r="C102" s="16">
        <v>1</v>
      </c>
      <c r="D102" s="18">
        <v>2</v>
      </c>
      <c r="E102" s="15">
        <f t="shared" si="1"/>
        <v>0.5</v>
      </c>
    </row>
    <row r="103" spans="1:5" x14ac:dyDescent="0.25">
      <c r="A103" s="2"/>
      <c r="B103" s="1">
        <v>2023</v>
      </c>
      <c r="C103" s="16">
        <v>1</v>
      </c>
      <c r="D103" s="18">
        <v>2</v>
      </c>
      <c r="E103" s="15">
        <f t="shared" si="1"/>
        <v>0.5</v>
      </c>
    </row>
    <row r="104" spans="1:5" x14ac:dyDescent="0.25">
      <c r="A104" s="2" t="s">
        <v>55</v>
      </c>
      <c r="B104" s="1">
        <v>2021</v>
      </c>
      <c r="C104" s="16">
        <v>1</v>
      </c>
      <c r="D104" s="18">
        <v>3</v>
      </c>
      <c r="E104" s="15">
        <f t="shared" si="1"/>
        <v>0.33333333333333331</v>
      </c>
    </row>
    <row r="105" spans="1:5" x14ac:dyDescent="0.25">
      <c r="A105" s="2"/>
      <c r="B105" s="1">
        <v>2022</v>
      </c>
      <c r="C105" s="16">
        <v>1</v>
      </c>
      <c r="D105" s="18">
        <v>3</v>
      </c>
      <c r="E105" s="15">
        <f t="shared" si="1"/>
        <v>0.33333333333333331</v>
      </c>
    </row>
    <row r="106" spans="1:5" x14ac:dyDescent="0.25">
      <c r="A106" s="2"/>
      <c r="B106" s="1">
        <v>2023</v>
      </c>
      <c r="C106" s="16">
        <v>1</v>
      </c>
      <c r="D106" s="18">
        <v>3</v>
      </c>
      <c r="E106" s="15">
        <f t="shared" si="1"/>
        <v>0.33333333333333331</v>
      </c>
    </row>
    <row r="107" spans="1:5" x14ac:dyDescent="0.25">
      <c r="A107" s="2" t="s">
        <v>56</v>
      </c>
      <c r="B107" s="1">
        <v>2021</v>
      </c>
      <c r="C107" s="16">
        <v>2</v>
      </c>
      <c r="D107" s="18">
        <v>5</v>
      </c>
      <c r="E107" s="15">
        <f t="shared" si="1"/>
        <v>0.4</v>
      </c>
    </row>
    <row r="108" spans="1:5" x14ac:dyDescent="0.25">
      <c r="A108" s="2"/>
      <c r="B108" s="1">
        <v>2022</v>
      </c>
      <c r="C108" s="16">
        <v>2</v>
      </c>
      <c r="D108" s="18">
        <v>5</v>
      </c>
      <c r="E108" s="15">
        <f t="shared" si="1"/>
        <v>0.4</v>
      </c>
    </row>
    <row r="109" spans="1:5" x14ac:dyDescent="0.25">
      <c r="A109" s="2"/>
      <c r="B109" s="1">
        <v>2023</v>
      </c>
      <c r="C109" s="16">
        <v>2</v>
      </c>
      <c r="D109" s="18">
        <v>5</v>
      </c>
      <c r="E109" s="15">
        <f t="shared" si="1"/>
        <v>0.4</v>
      </c>
    </row>
    <row r="110" spans="1:5" x14ac:dyDescent="0.25">
      <c r="A110" s="2" t="s">
        <v>57</v>
      </c>
      <c r="B110" s="1">
        <v>2021</v>
      </c>
      <c r="C110" s="16">
        <v>1</v>
      </c>
      <c r="D110" s="18">
        <v>3</v>
      </c>
      <c r="E110" s="15">
        <f t="shared" si="1"/>
        <v>0.33333333333333331</v>
      </c>
    </row>
    <row r="111" spans="1:5" x14ac:dyDescent="0.25">
      <c r="A111" s="2"/>
      <c r="B111" s="1">
        <v>2022</v>
      </c>
      <c r="C111" s="16">
        <v>1</v>
      </c>
      <c r="D111" s="18">
        <v>3</v>
      </c>
      <c r="E111" s="15">
        <f t="shared" si="1"/>
        <v>0.33333333333333331</v>
      </c>
    </row>
    <row r="112" spans="1:5" x14ac:dyDescent="0.25">
      <c r="A112" s="2"/>
      <c r="B112" s="1">
        <v>2023</v>
      </c>
      <c r="C112" s="16">
        <v>1</v>
      </c>
      <c r="D112" s="18">
        <v>3</v>
      </c>
      <c r="E112" s="15">
        <f t="shared" si="1"/>
        <v>0.33333333333333331</v>
      </c>
    </row>
    <row r="113" spans="1:5" x14ac:dyDescent="0.25">
      <c r="A113" s="2" t="s">
        <v>58</v>
      </c>
      <c r="B113" s="1">
        <v>2021</v>
      </c>
      <c r="C113" s="16">
        <v>5</v>
      </c>
      <c r="D113" s="18">
        <v>6</v>
      </c>
      <c r="E113" s="15">
        <f t="shared" si="1"/>
        <v>0.83333333333333337</v>
      </c>
    </row>
    <row r="114" spans="1:5" x14ac:dyDescent="0.25">
      <c r="A114" s="2"/>
      <c r="B114" s="1">
        <v>2022</v>
      </c>
      <c r="C114" s="16">
        <v>5</v>
      </c>
      <c r="D114" s="18">
        <v>6</v>
      </c>
      <c r="E114" s="15">
        <f t="shared" si="1"/>
        <v>0.83333333333333337</v>
      </c>
    </row>
    <row r="115" spans="1:5" x14ac:dyDescent="0.25">
      <c r="A115" s="2"/>
      <c r="B115" s="1">
        <v>2023</v>
      </c>
      <c r="C115" s="16">
        <v>5</v>
      </c>
      <c r="D115" s="18">
        <v>6</v>
      </c>
      <c r="E115" s="15">
        <f t="shared" si="1"/>
        <v>0.83333333333333337</v>
      </c>
    </row>
    <row r="116" spans="1:5" x14ac:dyDescent="0.25">
      <c r="A116" s="2" t="s">
        <v>59</v>
      </c>
      <c r="B116" s="1">
        <v>2021</v>
      </c>
      <c r="C116" s="16">
        <v>1</v>
      </c>
      <c r="D116" s="18">
        <v>3</v>
      </c>
      <c r="E116" s="15">
        <f t="shared" si="1"/>
        <v>0.33333333333333331</v>
      </c>
    </row>
    <row r="117" spans="1:5" x14ac:dyDescent="0.25">
      <c r="A117" s="2"/>
      <c r="B117" s="1">
        <v>2022</v>
      </c>
      <c r="C117" s="16">
        <v>1</v>
      </c>
      <c r="D117" s="18">
        <v>3</v>
      </c>
      <c r="E117" s="15">
        <f t="shared" si="1"/>
        <v>0.33333333333333331</v>
      </c>
    </row>
    <row r="118" spans="1:5" x14ac:dyDescent="0.25">
      <c r="A118" s="2"/>
      <c r="B118" s="1">
        <v>2023</v>
      </c>
      <c r="C118" s="16">
        <v>1</v>
      </c>
      <c r="D118" s="18">
        <v>3</v>
      </c>
      <c r="E118" s="15">
        <f t="shared" si="1"/>
        <v>0.33333333333333331</v>
      </c>
    </row>
    <row r="119" spans="1:5" x14ac:dyDescent="0.25">
      <c r="A119" s="2" t="s">
        <v>60</v>
      </c>
      <c r="B119" s="1">
        <v>2021</v>
      </c>
      <c r="C119" s="16">
        <v>1</v>
      </c>
      <c r="D119" s="18">
        <v>3</v>
      </c>
      <c r="E119" s="15">
        <f t="shared" si="1"/>
        <v>0.33333333333333331</v>
      </c>
    </row>
    <row r="120" spans="1:5" x14ac:dyDescent="0.25">
      <c r="A120" s="2"/>
      <c r="B120" s="1">
        <v>2022</v>
      </c>
      <c r="C120" s="16">
        <v>1</v>
      </c>
      <c r="D120" s="18">
        <v>2</v>
      </c>
      <c r="E120" s="15">
        <f t="shared" si="1"/>
        <v>0.5</v>
      </c>
    </row>
    <row r="121" spans="1:5" x14ac:dyDescent="0.25">
      <c r="A121" s="2"/>
      <c r="B121" s="1">
        <v>2023</v>
      </c>
      <c r="C121" s="16">
        <v>1</v>
      </c>
      <c r="D121" s="18">
        <v>2</v>
      </c>
      <c r="E121" s="15">
        <f t="shared" si="1"/>
        <v>0.5</v>
      </c>
    </row>
    <row r="122" spans="1:5" x14ac:dyDescent="0.25">
      <c r="A122" s="2" t="s">
        <v>61</v>
      </c>
      <c r="B122" s="1">
        <v>2021</v>
      </c>
      <c r="C122" s="16">
        <v>1</v>
      </c>
      <c r="D122" s="18">
        <v>2</v>
      </c>
      <c r="E122" s="15">
        <f t="shared" si="1"/>
        <v>0.5</v>
      </c>
    </row>
    <row r="123" spans="1:5" x14ac:dyDescent="0.25">
      <c r="A123" s="2"/>
      <c r="B123" s="1">
        <v>2022</v>
      </c>
      <c r="C123" s="16">
        <v>1</v>
      </c>
      <c r="D123" s="18">
        <v>2</v>
      </c>
      <c r="E123" s="15">
        <f t="shared" si="1"/>
        <v>0.5</v>
      </c>
    </row>
    <row r="124" spans="1:5" x14ac:dyDescent="0.25">
      <c r="A124" s="2"/>
      <c r="B124" s="1">
        <v>2023</v>
      </c>
      <c r="C124" s="16">
        <v>1</v>
      </c>
      <c r="D124" s="18">
        <v>2</v>
      </c>
      <c r="E124" s="15">
        <f t="shared" si="1"/>
        <v>0.5</v>
      </c>
    </row>
    <row r="125" spans="1:5" x14ac:dyDescent="0.25">
      <c r="A125" s="2" t="s">
        <v>62</v>
      </c>
      <c r="B125" s="1">
        <v>2021</v>
      </c>
      <c r="C125" s="16">
        <v>1</v>
      </c>
      <c r="D125" s="18">
        <v>3</v>
      </c>
      <c r="E125" s="15">
        <f t="shared" si="1"/>
        <v>0.33333333333333331</v>
      </c>
    </row>
    <row r="126" spans="1:5" x14ac:dyDescent="0.25">
      <c r="A126" s="2"/>
      <c r="B126" s="1">
        <v>2022</v>
      </c>
      <c r="C126" s="16">
        <v>1</v>
      </c>
      <c r="D126" s="18">
        <v>2</v>
      </c>
      <c r="E126" s="15">
        <f t="shared" si="1"/>
        <v>0.5</v>
      </c>
    </row>
    <row r="127" spans="1:5" x14ac:dyDescent="0.25">
      <c r="A127" s="2"/>
      <c r="B127" s="1">
        <v>2023</v>
      </c>
      <c r="C127" s="16">
        <v>1</v>
      </c>
      <c r="D127" s="18">
        <v>3</v>
      </c>
      <c r="E127" s="15">
        <f t="shared" si="1"/>
        <v>0.33333333333333331</v>
      </c>
    </row>
    <row r="128" spans="1:5" x14ac:dyDescent="0.25">
      <c r="A128" s="2" t="s">
        <v>63</v>
      </c>
      <c r="B128" s="1">
        <v>2021</v>
      </c>
      <c r="C128" s="16">
        <v>2</v>
      </c>
      <c r="D128" s="18">
        <v>6</v>
      </c>
      <c r="E128" s="15">
        <f t="shared" ref="E128:E184" si="2">C128/D128</f>
        <v>0.33333333333333331</v>
      </c>
    </row>
    <row r="129" spans="1:5" x14ac:dyDescent="0.25">
      <c r="A129" s="2"/>
      <c r="B129" s="1">
        <v>2022</v>
      </c>
      <c r="C129" s="16">
        <v>2</v>
      </c>
      <c r="D129" s="18">
        <v>5</v>
      </c>
      <c r="E129" s="15">
        <f t="shared" si="2"/>
        <v>0.4</v>
      </c>
    </row>
    <row r="130" spans="1:5" x14ac:dyDescent="0.25">
      <c r="A130" s="2"/>
      <c r="B130" s="1">
        <v>2023</v>
      </c>
      <c r="C130" s="16">
        <v>2</v>
      </c>
      <c r="D130" s="18">
        <v>5</v>
      </c>
      <c r="E130" s="15">
        <f t="shared" si="2"/>
        <v>0.4</v>
      </c>
    </row>
    <row r="131" spans="1:5" x14ac:dyDescent="0.25">
      <c r="A131" s="2" t="s">
        <v>64</v>
      </c>
      <c r="B131" s="1">
        <v>2021</v>
      </c>
      <c r="C131" s="16">
        <v>1</v>
      </c>
      <c r="D131" s="18">
        <v>3</v>
      </c>
      <c r="E131" s="15">
        <f t="shared" si="2"/>
        <v>0.33333333333333331</v>
      </c>
    </row>
    <row r="132" spans="1:5" x14ac:dyDescent="0.25">
      <c r="A132" s="2"/>
      <c r="B132" s="1">
        <v>2022</v>
      </c>
      <c r="C132" s="16">
        <v>1</v>
      </c>
      <c r="D132" s="18">
        <v>3</v>
      </c>
      <c r="E132" s="15">
        <f t="shared" si="2"/>
        <v>0.33333333333333331</v>
      </c>
    </row>
    <row r="133" spans="1:5" x14ac:dyDescent="0.25">
      <c r="A133" s="2"/>
      <c r="B133" s="1">
        <v>2023</v>
      </c>
      <c r="C133" s="16">
        <v>1</v>
      </c>
      <c r="D133" s="18">
        <v>3</v>
      </c>
      <c r="E133" s="15">
        <f t="shared" si="2"/>
        <v>0.33333333333333331</v>
      </c>
    </row>
    <row r="134" spans="1:5" x14ac:dyDescent="0.25">
      <c r="A134" s="2" t="s">
        <v>65</v>
      </c>
      <c r="B134" s="1">
        <v>2021</v>
      </c>
      <c r="C134" s="16">
        <v>3</v>
      </c>
      <c r="D134" s="18">
        <v>5</v>
      </c>
      <c r="E134" s="15">
        <f t="shared" si="2"/>
        <v>0.6</v>
      </c>
    </row>
    <row r="135" spans="1:5" x14ac:dyDescent="0.25">
      <c r="A135" s="2"/>
      <c r="B135" s="1">
        <v>2022</v>
      </c>
      <c r="C135" s="16">
        <v>3</v>
      </c>
      <c r="D135" s="18">
        <v>5</v>
      </c>
      <c r="E135" s="15">
        <f t="shared" si="2"/>
        <v>0.6</v>
      </c>
    </row>
    <row r="136" spans="1:5" x14ac:dyDescent="0.25">
      <c r="A136" s="2"/>
      <c r="B136" s="1">
        <v>2023</v>
      </c>
      <c r="C136" s="16">
        <v>4</v>
      </c>
      <c r="D136" s="18">
        <v>5</v>
      </c>
      <c r="E136" s="15">
        <f t="shared" si="2"/>
        <v>0.8</v>
      </c>
    </row>
    <row r="137" spans="1:5" x14ac:dyDescent="0.25">
      <c r="A137" s="2" t="s">
        <v>66</v>
      </c>
      <c r="B137" s="1">
        <v>2021</v>
      </c>
      <c r="C137" s="16">
        <v>1</v>
      </c>
      <c r="D137" s="18">
        <v>2</v>
      </c>
      <c r="E137" s="15">
        <f t="shared" si="2"/>
        <v>0.5</v>
      </c>
    </row>
    <row r="138" spans="1:5" x14ac:dyDescent="0.25">
      <c r="A138" s="2"/>
      <c r="B138" s="1">
        <v>2022</v>
      </c>
      <c r="C138" s="16">
        <v>1</v>
      </c>
      <c r="D138" s="18">
        <v>2</v>
      </c>
      <c r="E138" s="15">
        <f t="shared" si="2"/>
        <v>0.5</v>
      </c>
    </row>
    <row r="139" spans="1:5" x14ac:dyDescent="0.25">
      <c r="A139" s="2"/>
      <c r="B139" s="1">
        <v>2023</v>
      </c>
      <c r="C139" s="16">
        <v>1</v>
      </c>
      <c r="D139" s="18">
        <v>2</v>
      </c>
      <c r="E139" s="15">
        <f t="shared" si="2"/>
        <v>0.5</v>
      </c>
    </row>
    <row r="140" spans="1:5" x14ac:dyDescent="0.25">
      <c r="A140" s="2" t="s">
        <v>67</v>
      </c>
      <c r="B140" s="1">
        <v>2021</v>
      </c>
      <c r="C140" s="16">
        <v>1</v>
      </c>
      <c r="D140" s="18">
        <v>2</v>
      </c>
      <c r="E140" s="15">
        <f t="shared" si="2"/>
        <v>0.5</v>
      </c>
    </row>
    <row r="141" spans="1:5" x14ac:dyDescent="0.25">
      <c r="A141" s="2"/>
      <c r="B141" s="1">
        <v>2022</v>
      </c>
      <c r="C141" s="16">
        <v>1</v>
      </c>
      <c r="D141" s="18">
        <v>2</v>
      </c>
      <c r="E141" s="15">
        <f t="shared" si="2"/>
        <v>0.5</v>
      </c>
    </row>
    <row r="142" spans="1:5" x14ac:dyDescent="0.25">
      <c r="A142" s="2"/>
      <c r="B142" s="1">
        <v>2023</v>
      </c>
      <c r="C142" s="16">
        <v>1</v>
      </c>
      <c r="D142" s="18">
        <v>2</v>
      </c>
      <c r="E142" s="15">
        <f t="shared" si="2"/>
        <v>0.5</v>
      </c>
    </row>
    <row r="143" spans="1:5" x14ac:dyDescent="0.25">
      <c r="A143" s="2" t="s">
        <v>68</v>
      </c>
      <c r="B143" s="1">
        <v>2021</v>
      </c>
      <c r="C143" s="16">
        <v>3</v>
      </c>
      <c r="D143" s="18">
        <v>8</v>
      </c>
      <c r="E143" s="15">
        <f t="shared" si="2"/>
        <v>0.375</v>
      </c>
    </row>
    <row r="144" spans="1:5" x14ac:dyDescent="0.25">
      <c r="A144" s="2"/>
      <c r="B144" s="1">
        <v>2022</v>
      </c>
      <c r="C144" s="16">
        <v>3</v>
      </c>
      <c r="D144" s="18">
        <v>8</v>
      </c>
      <c r="E144" s="15">
        <f t="shared" si="2"/>
        <v>0.375</v>
      </c>
    </row>
    <row r="145" spans="1:5" x14ac:dyDescent="0.25">
      <c r="A145" s="2"/>
      <c r="B145" s="1">
        <v>2023</v>
      </c>
      <c r="C145" s="16">
        <v>3</v>
      </c>
      <c r="D145" s="18">
        <v>8</v>
      </c>
      <c r="E145" s="15">
        <f t="shared" si="2"/>
        <v>0.375</v>
      </c>
    </row>
    <row r="146" spans="1:5" x14ac:dyDescent="0.25">
      <c r="A146" s="2" t="s">
        <v>69</v>
      </c>
      <c r="B146" s="1">
        <v>2021</v>
      </c>
      <c r="C146" s="16">
        <v>1</v>
      </c>
      <c r="D146" s="18">
        <v>3</v>
      </c>
      <c r="E146" s="15">
        <f t="shared" si="2"/>
        <v>0.33333333333333331</v>
      </c>
    </row>
    <row r="147" spans="1:5" x14ac:dyDescent="0.25">
      <c r="A147" s="2"/>
      <c r="B147" s="1">
        <v>2022</v>
      </c>
      <c r="C147" s="16">
        <v>1</v>
      </c>
      <c r="D147" s="18">
        <v>3</v>
      </c>
      <c r="E147" s="15">
        <f t="shared" si="2"/>
        <v>0.33333333333333331</v>
      </c>
    </row>
    <row r="148" spans="1:5" x14ac:dyDescent="0.25">
      <c r="A148" s="2"/>
      <c r="B148" s="1">
        <v>2023</v>
      </c>
      <c r="C148" s="16">
        <v>1</v>
      </c>
      <c r="D148" s="18">
        <v>3</v>
      </c>
      <c r="E148" s="15">
        <f t="shared" si="2"/>
        <v>0.33333333333333331</v>
      </c>
    </row>
    <row r="149" spans="1:5" x14ac:dyDescent="0.25">
      <c r="A149" s="2" t="s">
        <v>70</v>
      </c>
      <c r="B149" s="1">
        <v>2021</v>
      </c>
      <c r="C149" s="16">
        <v>1</v>
      </c>
      <c r="D149" s="18">
        <v>3</v>
      </c>
      <c r="E149" s="15">
        <f t="shared" si="2"/>
        <v>0.33333333333333331</v>
      </c>
    </row>
    <row r="150" spans="1:5" x14ac:dyDescent="0.25">
      <c r="A150" s="2"/>
      <c r="B150" s="1">
        <v>2022</v>
      </c>
      <c r="C150" s="16">
        <v>1</v>
      </c>
      <c r="D150" s="18">
        <v>3</v>
      </c>
      <c r="E150" s="15">
        <f t="shared" si="2"/>
        <v>0.33333333333333331</v>
      </c>
    </row>
    <row r="151" spans="1:5" x14ac:dyDescent="0.25">
      <c r="A151" s="2"/>
      <c r="B151" s="1">
        <v>2023</v>
      </c>
      <c r="C151" s="16">
        <v>1</v>
      </c>
      <c r="D151" s="18">
        <v>3</v>
      </c>
      <c r="E151" s="15">
        <f t="shared" si="2"/>
        <v>0.33333333333333331</v>
      </c>
    </row>
    <row r="152" spans="1:5" x14ac:dyDescent="0.25">
      <c r="A152" s="2" t="s">
        <v>71</v>
      </c>
      <c r="B152" s="1">
        <v>2021</v>
      </c>
      <c r="C152" s="16">
        <v>2</v>
      </c>
      <c r="D152" s="18">
        <v>6</v>
      </c>
      <c r="E152" s="15">
        <f t="shared" si="2"/>
        <v>0.33333333333333331</v>
      </c>
    </row>
    <row r="153" spans="1:5" x14ac:dyDescent="0.25">
      <c r="A153" s="2"/>
      <c r="B153" s="1">
        <v>2022</v>
      </c>
      <c r="C153" s="16">
        <v>2</v>
      </c>
      <c r="D153" s="18">
        <v>6</v>
      </c>
      <c r="E153" s="15">
        <f t="shared" si="2"/>
        <v>0.33333333333333331</v>
      </c>
    </row>
    <row r="154" spans="1:5" x14ac:dyDescent="0.25">
      <c r="A154" s="2"/>
      <c r="B154" s="1">
        <v>2023</v>
      </c>
      <c r="C154" s="16">
        <v>2</v>
      </c>
      <c r="D154" s="18">
        <v>6</v>
      </c>
      <c r="E154" s="15">
        <f t="shared" si="2"/>
        <v>0.33333333333333331</v>
      </c>
    </row>
    <row r="155" spans="1:5" x14ac:dyDescent="0.25">
      <c r="A155" s="1" t="s">
        <v>28</v>
      </c>
      <c r="B155" s="1">
        <v>2021</v>
      </c>
      <c r="C155" s="16">
        <v>2</v>
      </c>
      <c r="D155" s="18">
        <v>4</v>
      </c>
      <c r="E155" s="15">
        <f t="shared" si="2"/>
        <v>0.5</v>
      </c>
    </row>
    <row r="156" spans="1:5" x14ac:dyDescent="0.25">
      <c r="A156" s="1"/>
      <c r="B156" s="1">
        <v>2022</v>
      </c>
      <c r="C156" s="16">
        <v>2</v>
      </c>
      <c r="D156" s="18">
        <v>4</v>
      </c>
      <c r="E156" s="15">
        <f t="shared" si="2"/>
        <v>0.5</v>
      </c>
    </row>
    <row r="157" spans="1:5" x14ac:dyDescent="0.25">
      <c r="A157" s="1"/>
      <c r="B157" s="1">
        <v>2023</v>
      </c>
      <c r="C157" s="16">
        <v>2</v>
      </c>
      <c r="D157" s="18">
        <v>4</v>
      </c>
      <c r="E157" s="15">
        <f t="shared" si="2"/>
        <v>0.5</v>
      </c>
    </row>
    <row r="158" spans="1:5" x14ac:dyDescent="0.25">
      <c r="A158" s="1" t="s">
        <v>29</v>
      </c>
      <c r="B158" s="1">
        <v>2021</v>
      </c>
      <c r="C158" s="16">
        <v>1</v>
      </c>
      <c r="D158" s="18">
        <v>3</v>
      </c>
      <c r="E158" s="15">
        <f t="shared" si="2"/>
        <v>0.33333333333333331</v>
      </c>
    </row>
    <row r="159" spans="1:5" x14ac:dyDescent="0.25">
      <c r="A159" s="1"/>
      <c r="B159" s="1">
        <v>2022</v>
      </c>
      <c r="C159" s="16">
        <v>1</v>
      </c>
      <c r="D159" s="18">
        <v>3</v>
      </c>
      <c r="E159" s="15">
        <f t="shared" si="2"/>
        <v>0.33333333333333331</v>
      </c>
    </row>
    <row r="160" spans="1:5" x14ac:dyDescent="0.25">
      <c r="A160" s="1"/>
      <c r="B160" s="1">
        <v>2023</v>
      </c>
      <c r="C160" s="16">
        <v>2</v>
      </c>
      <c r="D160" s="18">
        <v>4</v>
      </c>
      <c r="E160" s="15">
        <f t="shared" si="2"/>
        <v>0.5</v>
      </c>
    </row>
    <row r="161" spans="1:5" x14ac:dyDescent="0.25">
      <c r="A161" s="1" t="s">
        <v>30</v>
      </c>
      <c r="B161" s="1">
        <v>2021</v>
      </c>
      <c r="C161" s="16">
        <v>4</v>
      </c>
      <c r="D161" s="18">
        <v>10</v>
      </c>
      <c r="E161" s="15">
        <f t="shared" si="2"/>
        <v>0.4</v>
      </c>
    </row>
    <row r="162" spans="1:5" x14ac:dyDescent="0.25">
      <c r="A162" s="1"/>
      <c r="B162" s="1">
        <v>2022</v>
      </c>
      <c r="C162" s="16">
        <v>4</v>
      </c>
      <c r="D162" s="18">
        <v>10</v>
      </c>
      <c r="E162" s="15">
        <f t="shared" si="2"/>
        <v>0.4</v>
      </c>
    </row>
    <row r="163" spans="1:5" x14ac:dyDescent="0.25">
      <c r="A163" s="1"/>
      <c r="B163" s="1">
        <v>2023</v>
      </c>
      <c r="C163" s="16">
        <v>4</v>
      </c>
      <c r="D163" s="18">
        <v>10</v>
      </c>
      <c r="E163" s="15">
        <f t="shared" si="2"/>
        <v>0.4</v>
      </c>
    </row>
    <row r="164" spans="1:5" x14ac:dyDescent="0.25">
      <c r="A164" s="1" t="s">
        <v>31</v>
      </c>
      <c r="B164" s="1">
        <v>2021</v>
      </c>
      <c r="C164" s="16">
        <v>2</v>
      </c>
      <c r="D164" s="18">
        <v>5</v>
      </c>
      <c r="E164" s="15">
        <f t="shared" si="2"/>
        <v>0.4</v>
      </c>
    </row>
    <row r="165" spans="1:5" x14ac:dyDescent="0.25">
      <c r="A165" s="1"/>
      <c r="B165" s="1">
        <v>2022</v>
      </c>
      <c r="C165" s="16">
        <v>2</v>
      </c>
      <c r="D165" s="18">
        <v>5</v>
      </c>
      <c r="E165" s="15">
        <f t="shared" si="2"/>
        <v>0.4</v>
      </c>
    </row>
    <row r="166" spans="1:5" x14ac:dyDescent="0.25">
      <c r="A166" s="1"/>
      <c r="B166" s="1">
        <v>2023</v>
      </c>
      <c r="C166" s="16">
        <v>2</v>
      </c>
      <c r="D166" s="18">
        <v>5</v>
      </c>
      <c r="E166" s="15">
        <f t="shared" si="2"/>
        <v>0.4</v>
      </c>
    </row>
    <row r="167" spans="1:5" x14ac:dyDescent="0.25">
      <c r="A167" s="1" t="s">
        <v>32</v>
      </c>
      <c r="B167" s="1">
        <v>2021</v>
      </c>
      <c r="C167" s="16">
        <v>1</v>
      </c>
      <c r="D167" s="18">
        <v>2</v>
      </c>
      <c r="E167" s="15">
        <f t="shared" si="2"/>
        <v>0.5</v>
      </c>
    </row>
    <row r="168" spans="1:5" x14ac:dyDescent="0.25">
      <c r="A168" s="1"/>
      <c r="B168" s="1">
        <v>2022</v>
      </c>
      <c r="C168" s="16">
        <v>1</v>
      </c>
      <c r="D168" s="18">
        <v>3</v>
      </c>
      <c r="E168" s="15">
        <f t="shared" si="2"/>
        <v>0.33333333333333331</v>
      </c>
    </row>
    <row r="169" spans="1:5" x14ac:dyDescent="0.25">
      <c r="A169" s="1"/>
      <c r="B169" s="1">
        <v>2023</v>
      </c>
      <c r="C169" s="16">
        <v>1</v>
      </c>
      <c r="D169" s="18">
        <v>2</v>
      </c>
      <c r="E169" s="15">
        <f t="shared" si="2"/>
        <v>0.5</v>
      </c>
    </row>
    <row r="170" spans="1:5" x14ac:dyDescent="0.25">
      <c r="A170" s="1" t="s">
        <v>33</v>
      </c>
      <c r="B170" s="1">
        <v>2021</v>
      </c>
      <c r="C170" s="16">
        <v>1</v>
      </c>
      <c r="D170" s="18">
        <v>3</v>
      </c>
      <c r="E170" s="15">
        <f t="shared" si="2"/>
        <v>0.33333333333333331</v>
      </c>
    </row>
    <row r="171" spans="1:5" x14ac:dyDescent="0.25">
      <c r="A171" s="1"/>
      <c r="B171" s="1">
        <v>2022</v>
      </c>
      <c r="C171" s="16">
        <v>1</v>
      </c>
      <c r="D171" s="18">
        <v>3</v>
      </c>
      <c r="E171" s="15">
        <f t="shared" si="2"/>
        <v>0.33333333333333331</v>
      </c>
    </row>
    <row r="172" spans="1:5" x14ac:dyDescent="0.25">
      <c r="A172" s="1"/>
      <c r="B172" s="1">
        <v>2023</v>
      </c>
      <c r="C172" s="16">
        <v>1</v>
      </c>
      <c r="D172" s="18">
        <v>3</v>
      </c>
      <c r="E172" s="15">
        <f t="shared" si="2"/>
        <v>0.33333333333333331</v>
      </c>
    </row>
    <row r="173" spans="1:5" x14ac:dyDescent="0.25">
      <c r="A173" s="1" t="s">
        <v>34</v>
      </c>
      <c r="B173" s="1">
        <v>2021</v>
      </c>
      <c r="C173" s="16">
        <v>2</v>
      </c>
      <c r="D173" s="18">
        <v>5</v>
      </c>
      <c r="E173" s="15">
        <f t="shared" si="2"/>
        <v>0.4</v>
      </c>
    </row>
    <row r="174" spans="1:5" x14ac:dyDescent="0.25">
      <c r="A174" s="1"/>
      <c r="B174" s="1">
        <v>2022</v>
      </c>
      <c r="C174" s="16">
        <v>2</v>
      </c>
      <c r="D174" s="18">
        <v>5</v>
      </c>
      <c r="E174" s="15">
        <f t="shared" si="2"/>
        <v>0.4</v>
      </c>
    </row>
    <row r="175" spans="1:5" x14ac:dyDescent="0.25">
      <c r="A175" s="1"/>
      <c r="B175" s="1">
        <v>2023</v>
      </c>
      <c r="C175" s="16">
        <v>2</v>
      </c>
      <c r="D175" s="18">
        <v>5</v>
      </c>
      <c r="E175" s="15">
        <f t="shared" si="2"/>
        <v>0.4</v>
      </c>
    </row>
    <row r="176" spans="1:5" x14ac:dyDescent="0.25">
      <c r="A176" s="1" t="s">
        <v>35</v>
      </c>
      <c r="B176" s="1">
        <v>2021</v>
      </c>
      <c r="C176" s="16">
        <v>2</v>
      </c>
      <c r="D176" s="18">
        <v>6</v>
      </c>
      <c r="E176" s="15">
        <f t="shared" si="2"/>
        <v>0.33333333333333331</v>
      </c>
    </row>
    <row r="177" spans="1:5" x14ac:dyDescent="0.25">
      <c r="A177" s="1"/>
      <c r="B177" s="1">
        <v>2022</v>
      </c>
      <c r="C177" s="16">
        <v>2</v>
      </c>
      <c r="D177" s="18">
        <v>6</v>
      </c>
      <c r="E177" s="15">
        <f t="shared" si="2"/>
        <v>0.33333333333333331</v>
      </c>
    </row>
    <row r="178" spans="1:5" x14ac:dyDescent="0.25">
      <c r="A178" s="1"/>
      <c r="B178" s="1">
        <v>2023</v>
      </c>
      <c r="C178" s="16">
        <v>2</v>
      </c>
      <c r="D178" s="18">
        <v>6</v>
      </c>
      <c r="E178" s="15">
        <f t="shared" si="2"/>
        <v>0.33333333333333331</v>
      </c>
    </row>
    <row r="179" spans="1:5" x14ac:dyDescent="0.25">
      <c r="A179" s="1" t="s">
        <v>36</v>
      </c>
      <c r="B179" s="1">
        <v>2021</v>
      </c>
      <c r="C179" s="16">
        <v>1</v>
      </c>
      <c r="D179" s="18">
        <v>3</v>
      </c>
      <c r="E179" s="15">
        <f t="shared" si="2"/>
        <v>0.33333333333333331</v>
      </c>
    </row>
    <row r="180" spans="1:5" x14ac:dyDescent="0.25">
      <c r="A180" s="1"/>
      <c r="B180" s="1">
        <v>2022</v>
      </c>
      <c r="C180" s="16">
        <v>1</v>
      </c>
      <c r="D180" s="18">
        <v>3</v>
      </c>
      <c r="E180" s="15">
        <f t="shared" si="2"/>
        <v>0.33333333333333331</v>
      </c>
    </row>
    <row r="181" spans="1:5" x14ac:dyDescent="0.25">
      <c r="A181" s="1"/>
      <c r="B181" s="1">
        <v>2023</v>
      </c>
      <c r="C181" s="16">
        <v>1</v>
      </c>
      <c r="D181" s="18">
        <v>3</v>
      </c>
      <c r="E181" s="15">
        <f t="shared" si="2"/>
        <v>0.33333333333333331</v>
      </c>
    </row>
    <row r="182" spans="1:5" x14ac:dyDescent="0.25">
      <c r="A182" s="1" t="s">
        <v>37</v>
      </c>
      <c r="B182" s="1">
        <v>2021</v>
      </c>
      <c r="C182" s="16">
        <v>1</v>
      </c>
      <c r="D182" s="18">
        <v>3</v>
      </c>
      <c r="E182" s="15">
        <f t="shared" si="2"/>
        <v>0.33333333333333331</v>
      </c>
    </row>
    <row r="183" spans="1:5" x14ac:dyDescent="0.25">
      <c r="A183" s="1"/>
      <c r="B183" s="1">
        <v>2022</v>
      </c>
      <c r="C183" s="16">
        <v>1</v>
      </c>
      <c r="D183" s="18">
        <v>3</v>
      </c>
      <c r="E183" s="15">
        <f t="shared" si="2"/>
        <v>0.33333333333333331</v>
      </c>
    </row>
    <row r="184" spans="1:5" x14ac:dyDescent="0.25">
      <c r="A184" s="1"/>
      <c r="B184" s="1">
        <v>2023</v>
      </c>
      <c r="C184" s="16">
        <v>1</v>
      </c>
      <c r="D184" s="18">
        <v>3</v>
      </c>
      <c r="E184" s="15">
        <f t="shared" si="2"/>
        <v>0.33333333333333331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75107-750B-4C0F-A158-5B3337717344}">
  <dimension ref="A1:Z272"/>
  <sheetViews>
    <sheetView topLeftCell="S1" zoomScale="93" zoomScaleNormal="93" workbookViewId="0">
      <selection activeCell="AA3" sqref="AA3"/>
    </sheetView>
  </sheetViews>
  <sheetFormatPr defaultRowHeight="15" x14ac:dyDescent="0.25"/>
  <cols>
    <col min="3" max="3" width="21.5703125" customWidth="1"/>
    <col min="4" max="4" width="23.5703125" customWidth="1"/>
    <col min="5" max="5" width="20.7109375" customWidth="1"/>
    <col min="6" max="6" width="31.7109375" customWidth="1"/>
    <col min="7" max="7" width="20.5703125" style="26" customWidth="1"/>
    <col min="8" max="8" width="24.140625" customWidth="1"/>
    <col min="9" max="9" width="26.7109375" customWidth="1"/>
    <col min="10" max="10" width="25.28515625" customWidth="1"/>
    <col min="11" max="11" width="25.7109375" customWidth="1"/>
    <col min="12" max="12" width="19.5703125" style="26" customWidth="1"/>
    <col min="13" max="13" width="22.28515625" customWidth="1"/>
    <col min="14" max="14" width="24.28515625" style="26" customWidth="1"/>
    <col min="18" max="18" width="23.5703125" customWidth="1"/>
    <col min="19" max="19" width="25.42578125" customWidth="1"/>
    <col min="20" max="20" width="26.42578125" customWidth="1"/>
    <col min="21" max="21" width="28.42578125" style="26" customWidth="1"/>
    <col min="22" max="22" width="23.42578125" customWidth="1"/>
    <col min="23" max="23" width="32.5703125" customWidth="1"/>
    <col min="24" max="24" width="23" customWidth="1"/>
    <col min="25" max="25" width="9.140625" style="26"/>
    <col min="26" max="26" width="9.140625" style="48"/>
  </cols>
  <sheetData>
    <row r="1" spans="1:26" x14ac:dyDescent="0.25">
      <c r="A1" s="1" t="s">
        <v>0</v>
      </c>
      <c r="B1" s="12" t="s">
        <v>1</v>
      </c>
      <c r="C1" s="19" t="s">
        <v>80</v>
      </c>
      <c r="D1" s="19" t="s">
        <v>96</v>
      </c>
      <c r="E1" s="20" t="s">
        <v>81</v>
      </c>
      <c r="F1" s="22" t="s">
        <v>104</v>
      </c>
      <c r="G1" s="25" t="s">
        <v>97</v>
      </c>
      <c r="H1" s="23" t="s">
        <v>105</v>
      </c>
      <c r="I1" s="23" t="s">
        <v>85</v>
      </c>
      <c r="J1" s="23" t="s">
        <v>86</v>
      </c>
      <c r="K1" s="23" t="s">
        <v>87</v>
      </c>
      <c r="L1" s="25" t="s">
        <v>98</v>
      </c>
      <c r="M1" s="24" t="s">
        <v>88</v>
      </c>
      <c r="N1" s="25" t="s">
        <v>99</v>
      </c>
      <c r="O1" s="27" t="s">
        <v>89</v>
      </c>
      <c r="P1" s="27" t="s">
        <v>90</v>
      </c>
      <c r="Q1" s="27" t="s">
        <v>91</v>
      </c>
      <c r="R1" s="23" t="s">
        <v>92</v>
      </c>
      <c r="S1" s="23" t="s">
        <v>93</v>
      </c>
      <c r="T1" s="23" t="s">
        <v>94</v>
      </c>
      <c r="U1" s="25" t="s">
        <v>95</v>
      </c>
      <c r="V1" s="28" t="s">
        <v>100</v>
      </c>
      <c r="W1" s="29" t="s">
        <v>101</v>
      </c>
      <c r="X1" s="28" t="s">
        <v>102</v>
      </c>
      <c r="Y1" s="30" t="s">
        <v>103</v>
      </c>
      <c r="Z1" s="46" t="s">
        <v>106</v>
      </c>
    </row>
    <row r="2" spans="1:26" x14ac:dyDescent="0.25">
      <c r="A2" s="1" t="s">
        <v>2</v>
      </c>
      <c r="B2" s="12">
        <v>2021</v>
      </c>
      <c r="C2" s="3">
        <v>178048508091</v>
      </c>
      <c r="D2" s="3">
        <v>148323984609</v>
      </c>
      <c r="E2" s="3">
        <f t="shared" ref="E2:E63" si="0">C2-D2</f>
        <v>29724523482</v>
      </c>
      <c r="F2" s="3">
        <v>706288449539</v>
      </c>
      <c r="G2" s="15">
        <f t="shared" ref="G2:G63" si="1">E2/F2</f>
        <v>4.2085529646423397E-2</v>
      </c>
      <c r="H2" s="16">
        <f t="shared" ref="H2:H63" si="2">1/F2</f>
        <v>1.4158521219661851E-12</v>
      </c>
      <c r="I2" s="3">
        <v>3309550194031</v>
      </c>
      <c r="J2" s="3">
        <v>2597432424347</v>
      </c>
      <c r="K2" s="3">
        <f t="shared" ref="K2:K63" si="3">I2-J2</f>
        <v>712117769684</v>
      </c>
      <c r="L2" s="15">
        <f t="shared" ref="L2:L63" si="4">K2/F2</f>
        <v>1.0082534552969185</v>
      </c>
      <c r="M2" s="3">
        <v>51057283308</v>
      </c>
      <c r="N2" s="15">
        <f t="shared" ref="N2:N63" si="5">M2/F2</f>
        <v>7.2289562913460489E-2</v>
      </c>
      <c r="O2" s="16">
        <v>0.11600000000000001</v>
      </c>
      <c r="P2" s="16">
        <v>0.25700000000000001</v>
      </c>
      <c r="Q2" s="16">
        <v>-0.25900000000000001</v>
      </c>
      <c r="R2" s="3">
        <f>436701663769+113367693285</f>
        <v>550069357054</v>
      </c>
      <c r="S2" s="3">
        <f>297491937732+64846619276</f>
        <v>362338557008</v>
      </c>
      <c r="T2" s="3">
        <f t="shared" ref="T2:T63" si="6">R2-S2</f>
        <v>187730800046</v>
      </c>
      <c r="U2" s="15">
        <f t="shared" ref="U2:U63" si="7">(K2-T2)/F2</f>
        <v>0.74245440369337978</v>
      </c>
      <c r="V2" s="16">
        <f t="shared" ref="V2:V63" si="8">O2*H2</f>
        <v>1.6423884614807748E-13</v>
      </c>
      <c r="W2" s="16">
        <f t="shared" ref="W2:W63" si="9">P2*U2</f>
        <v>0.1908107817491986</v>
      </c>
      <c r="X2" s="16">
        <f t="shared" ref="X2:X63" si="10">Q2*N2</f>
        <v>-1.8722996794586267E-2</v>
      </c>
      <c r="Y2" s="15">
        <f t="shared" ref="Y2:Y63" si="11">V2+W2+X2</f>
        <v>0.17208778495477656</v>
      </c>
      <c r="Z2" s="47">
        <f t="shared" ref="Z2:Z63" si="12">G2-Y2</f>
        <v>-0.13000225530835316</v>
      </c>
    </row>
    <row r="3" spans="1:26" x14ac:dyDescent="0.25">
      <c r="A3" s="1"/>
      <c r="B3" s="12">
        <v>2022</v>
      </c>
      <c r="C3" s="3">
        <v>374509110044</v>
      </c>
      <c r="D3" s="3">
        <v>298296109036</v>
      </c>
      <c r="E3" s="3">
        <f t="shared" si="0"/>
        <v>76213001008</v>
      </c>
      <c r="F3" s="3">
        <v>977129726928</v>
      </c>
      <c r="G3" s="15">
        <f t="shared" si="1"/>
        <v>7.7996809336265099E-2</v>
      </c>
      <c r="H3" s="16">
        <f t="shared" si="2"/>
        <v>1.023405564728751E-12</v>
      </c>
      <c r="I3" s="3">
        <v>4830287518791</v>
      </c>
      <c r="J3" s="3">
        <v>3309550194031</v>
      </c>
      <c r="K3" s="3">
        <f t="shared" si="3"/>
        <v>1520737324760</v>
      </c>
      <c r="L3" s="15">
        <f t="shared" si="4"/>
        <v>1.5563310406500976</v>
      </c>
      <c r="M3" s="3">
        <v>48328617399</v>
      </c>
      <c r="N3" s="15">
        <f t="shared" si="5"/>
        <v>4.9459775981783333E-2</v>
      </c>
      <c r="O3" s="16">
        <v>0.11600000000000001</v>
      </c>
      <c r="P3" s="16">
        <v>0.25700000000000001</v>
      </c>
      <c r="Q3" s="16">
        <v>-0.25900000000000001</v>
      </c>
      <c r="R3" s="3">
        <f>506974337804+218220906075</f>
        <v>725195243879</v>
      </c>
      <c r="S3" s="3">
        <f>436701663769+113367693285</f>
        <v>550069357054</v>
      </c>
      <c r="T3" s="3">
        <f t="shared" si="6"/>
        <v>175125886825</v>
      </c>
      <c r="U3" s="15">
        <f t="shared" si="7"/>
        <v>1.3771062335453352</v>
      </c>
      <c r="V3" s="16">
        <f t="shared" si="8"/>
        <v>1.1871504550853511E-13</v>
      </c>
      <c r="W3" s="16">
        <f t="shared" si="9"/>
        <v>0.35391630202115115</v>
      </c>
      <c r="X3" s="16">
        <f t="shared" si="10"/>
        <v>-1.2810081979281884E-2</v>
      </c>
      <c r="Y3" s="15">
        <f t="shared" si="11"/>
        <v>0.34110622004198798</v>
      </c>
      <c r="Z3" s="47">
        <f t="shared" si="12"/>
        <v>-0.26310941070572291</v>
      </c>
    </row>
    <row r="4" spans="1:26" x14ac:dyDescent="0.25">
      <c r="A4" s="1"/>
      <c r="B4" s="12">
        <v>2023</v>
      </c>
      <c r="C4" s="3">
        <v>174691961974</v>
      </c>
      <c r="D4" s="3">
        <v>33698739865</v>
      </c>
      <c r="E4" s="3">
        <f t="shared" si="0"/>
        <v>140993222109</v>
      </c>
      <c r="F4" s="3">
        <v>1555132539181</v>
      </c>
      <c r="G4" s="15">
        <f t="shared" si="1"/>
        <v>9.066315478374154E-2</v>
      </c>
      <c r="H4" s="16">
        <f t="shared" si="2"/>
        <v>6.4303200840144678E-13</v>
      </c>
      <c r="I4" s="3">
        <v>3859879267941</v>
      </c>
      <c r="J4" s="3">
        <v>4830287518791</v>
      </c>
      <c r="K4" s="3">
        <f t="shared" si="3"/>
        <v>-970408250850</v>
      </c>
      <c r="L4" s="15">
        <f t="shared" si="4"/>
        <v>-0.62400356651341049</v>
      </c>
      <c r="M4" s="3">
        <v>104902007757</v>
      </c>
      <c r="N4" s="15">
        <f t="shared" si="5"/>
        <v>6.7455348733327855E-2</v>
      </c>
      <c r="O4" s="16">
        <v>0.11600000000000001</v>
      </c>
      <c r="P4" s="16">
        <v>0.25700000000000001</v>
      </c>
      <c r="Q4" s="16">
        <v>-0.25900000000000001</v>
      </c>
      <c r="R4" s="3">
        <f>349906095981+295299283058</f>
        <v>645205379039</v>
      </c>
      <c r="S4" s="3">
        <f>506974337804+218220906075</f>
        <v>725195243879</v>
      </c>
      <c r="T4" s="3">
        <f t="shared" si="6"/>
        <v>-79989864840</v>
      </c>
      <c r="U4" s="15">
        <f t="shared" si="7"/>
        <v>-0.57256752307358494</v>
      </c>
      <c r="V4" s="16">
        <f t="shared" si="8"/>
        <v>7.4591712974567833E-14</v>
      </c>
      <c r="W4" s="16">
        <f t="shared" si="9"/>
        <v>-0.14714985342991133</v>
      </c>
      <c r="X4" s="16">
        <f t="shared" si="10"/>
        <v>-1.7470935321931915E-2</v>
      </c>
      <c r="Y4" s="15">
        <f t="shared" si="11"/>
        <v>-0.16462078875176867</v>
      </c>
      <c r="Z4" s="47">
        <f t="shared" si="12"/>
        <v>0.2552839435355102</v>
      </c>
    </row>
    <row r="5" spans="1:26" x14ac:dyDescent="0.25">
      <c r="A5" s="1" t="s">
        <v>3</v>
      </c>
      <c r="B5" s="12">
        <v>2021</v>
      </c>
      <c r="C5" s="3">
        <v>568345150593</v>
      </c>
      <c r="D5" s="3">
        <v>449977281836</v>
      </c>
      <c r="E5" s="3">
        <f t="shared" si="0"/>
        <v>118367868757</v>
      </c>
      <c r="F5" s="3">
        <v>4140022660450</v>
      </c>
      <c r="G5" s="15">
        <f t="shared" si="1"/>
        <v>2.8591116152039128E-2</v>
      </c>
      <c r="H5" s="16">
        <f t="shared" si="2"/>
        <v>2.4154457161625899E-13</v>
      </c>
      <c r="I5" s="3">
        <v>4578413666494</v>
      </c>
      <c r="J5" s="3">
        <v>4344699474015</v>
      </c>
      <c r="K5" s="3">
        <f t="shared" si="3"/>
        <v>233714192479</v>
      </c>
      <c r="L5" s="15">
        <f t="shared" si="4"/>
        <v>5.6452394502979945E-2</v>
      </c>
      <c r="M5" s="3">
        <v>693252912441</v>
      </c>
      <c r="N5" s="15">
        <f t="shared" si="5"/>
        <v>0.16745147775728522</v>
      </c>
      <c r="O5" s="16">
        <v>0.11600000000000001</v>
      </c>
      <c r="P5" s="16">
        <v>0.25700000000000001</v>
      </c>
      <c r="Q5" s="16">
        <v>-0.25900000000000001</v>
      </c>
      <c r="R5" s="3">
        <f>206212882883+232259100563+15912419613+41121120287</f>
        <v>495505523346</v>
      </c>
      <c r="S5" s="3">
        <f>187945464594+65527031639+5888639824+11672860356</f>
        <v>271033996413</v>
      </c>
      <c r="T5" s="3">
        <f t="shared" si="6"/>
        <v>224471526933</v>
      </c>
      <c r="U5" s="15">
        <f t="shared" si="7"/>
        <v>2.2325156899009263E-3</v>
      </c>
      <c r="V5" s="16">
        <f t="shared" si="8"/>
        <v>2.8019170307486045E-14</v>
      </c>
      <c r="W5" s="16">
        <f t="shared" si="9"/>
        <v>5.7375653230453804E-4</v>
      </c>
      <c r="X5" s="16">
        <f t="shared" si="10"/>
        <v>-4.3369932739136877E-2</v>
      </c>
      <c r="Y5" s="15">
        <f t="shared" si="11"/>
        <v>-4.2796176206804322E-2</v>
      </c>
      <c r="Z5" s="47">
        <f t="shared" si="12"/>
        <v>7.1387292358843446E-2</v>
      </c>
    </row>
    <row r="6" spans="1:26" x14ac:dyDescent="0.25">
      <c r="A6" s="1"/>
      <c r="B6" s="12">
        <v>2022</v>
      </c>
      <c r="C6" s="3">
        <v>744820930786</v>
      </c>
      <c r="D6" s="3">
        <v>521538716056</v>
      </c>
      <c r="E6" s="3">
        <f t="shared" si="0"/>
        <v>223282214730</v>
      </c>
      <c r="F6" s="3">
        <v>4305752389646</v>
      </c>
      <c r="G6" s="15">
        <f t="shared" si="1"/>
        <v>5.1856724336244817E-2</v>
      </c>
      <c r="H6" s="16">
        <f t="shared" si="2"/>
        <v>2.3224744702103402E-13</v>
      </c>
      <c r="I6" s="3">
        <v>5694017210214</v>
      </c>
      <c r="J6" s="3">
        <v>4578413666494</v>
      </c>
      <c r="K6" s="3">
        <f t="shared" si="3"/>
        <v>1115603543720</v>
      </c>
      <c r="L6" s="15">
        <f t="shared" si="4"/>
        <v>0.25909607491658848</v>
      </c>
      <c r="M6" s="3">
        <v>665151422865</v>
      </c>
      <c r="N6" s="15">
        <f t="shared" si="5"/>
        <v>0.15447971984280448</v>
      </c>
      <c r="O6" s="16">
        <v>0.11600000000000001</v>
      </c>
      <c r="P6" s="16">
        <v>0.25700000000000001</v>
      </c>
      <c r="Q6" s="16">
        <v>-0.25900000000000001</v>
      </c>
      <c r="R6" s="3">
        <f>35338907781+321688035932+15764587545+17064164785</f>
        <v>389855696043</v>
      </c>
      <c r="S6" s="3">
        <f>206212882883+232259100563+15912419613+41121120287</f>
        <v>495505523346</v>
      </c>
      <c r="T6" s="3">
        <f t="shared" si="6"/>
        <v>-105649827303</v>
      </c>
      <c r="U6" s="15">
        <f t="shared" si="7"/>
        <v>0.28363297758592337</v>
      </c>
      <c r="V6" s="16">
        <f t="shared" si="8"/>
        <v>2.6940703854439947E-14</v>
      </c>
      <c r="W6" s="16">
        <f t="shared" si="9"/>
        <v>7.2893675239582303E-2</v>
      </c>
      <c r="X6" s="16">
        <f t="shared" si="10"/>
        <v>-4.0010247439286363E-2</v>
      </c>
      <c r="Y6" s="15">
        <f t="shared" si="11"/>
        <v>3.2883427800322877E-2</v>
      </c>
      <c r="Z6" s="47">
        <f t="shared" si="12"/>
        <v>1.8973296535921939E-2</v>
      </c>
    </row>
    <row r="7" spans="1:26" x14ac:dyDescent="0.25">
      <c r="A7" s="1"/>
      <c r="B7" s="12">
        <v>2023</v>
      </c>
      <c r="C7" s="3">
        <v>718604782391</v>
      </c>
      <c r="D7" s="3">
        <v>26138059838</v>
      </c>
      <c r="E7" s="3">
        <f t="shared" si="0"/>
        <v>692466722553</v>
      </c>
      <c r="F7" s="3">
        <v>5213814774459</v>
      </c>
      <c r="G7" s="15">
        <f t="shared" si="1"/>
        <v>0.13281383257901644</v>
      </c>
      <c r="H7" s="16">
        <f t="shared" si="2"/>
        <v>1.9179814459437961E-13</v>
      </c>
      <c r="I7" s="3">
        <v>3292715920018</v>
      </c>
      <c r="J7" s="3">
        <v>5694017210214</v>
      </c>
      <c r="K7" s="3">
        <f t="shared" si="3"/>
        <v>-2401301290196</v>
      </c>
      <c r="L7" s="15">
        <f t="shared" si="4"/>
        <v>-0.4605651320716827</v>
      </c>
      <c r="M7" s="3">
        <v>595093193950</v>
      </c>
      <c r="N7" s="15">
        <f t="shared" si="5"/>
        <v>0.1141377704603533</v>
      </c>
      <c r="O7" s="16">
        <v>0.11600000000000001</v>
      </c>
      <c r="P7" s="16">
        <v>0.25700000000000001</v>
      </c>
      <c r="Q7" s="16">
        <v>-0.25900000000000001</v>
      </c>
      <c r="R7" s="3">
        <f>195480079907+1863836211+14787388486</f>
        <v>212131304604</v>
      </c>
      <c r="S7" s="3">
        <f>35338907781+321688035932+15764587545+17064164785</f>
        <v>389855696043</v>
      </c>
      <c r="T7" s="3">
        <f t="shared" si="6"/>
        <v>-177724391439</v>
      </c>
      <c r="U7" s="15">
        <f t="shared" si="7"/>
        <v>-0.4264779235445173</v>
      </c>
      <c r="V7" s="16">
        <f t="shared" si="8"/>
        <v>2.2248584772948037E-14</v>
      </c>
      <c r="W7" s="16">
        <f t="shared" si="9"/>
        <v>-0.10960482635094095</v>
      </c>
      <c r="X7" s="16">
        <f t="shared" si="10"/>
        <v>-2.9561682549231506E-2</v>
      </c>
      <c r="Y7" s="15">
        <f t="shared" si="11"/>
        <v>-0.1391665089001502</v>
      </c>
      <c r="Z7" s="47">
        <f t="shared" si="12"/>
        <v>0.27198034147916661</v>
      </c>
    </row>
    <row r="8" spans="1:26" x14ac:dyDescent="0.25">
      <c r="A8" s="1" t="s">
        <v>4</v>
      </c>
      <c r="B8" s="12">
        <v>2021</v>
      </c>
      <c r="C8" s="3">
        <v>104034299846</v>
      </c>
      <c r="D8" s="3">
        <v>58598795292</v>
      </c>
      <c r="E8" s="3">
        <f t="shared" si="0"/>
        <v>45435504554</v>
      </c>
      <c r="F8" s="3">
        <v>665863417235</v>
      </c>
      <c r="G8" s="15">
        <f t="shared" si="1"/>
        <v>6.8235471987139765E-2</v>
      </c>
      <c r="H8" s="16">
        <f t="shared" si="2"/>
        <v>1.501809491430695E-12</v>
      </c>
      <c r="I8" s="3">
        <v>970111806482</v>
      </c>
      <c r="J8" s="3">
        <v>739402296030</v>
      </c>
      <c r="K8" s="3">
        <f t="shared" si="3"/>
        <v>230709510452</v>
      </c>
      <c r="L8" s="15">
        <f t="shared" si="4"/>
        <v>0.34648173256014275</v>
      </c>
      <c r="M8" s="3">
        <v>126819959998</v>
      </c>
      <c r="N8" s="15">
        <f t="shared" si="5"/>
        <v>0.19045941962785745</v>
      </c>
      <c r="O8" s="16">
        <v>0.11600000000000001</v>
      </c>
      <c r="P8" s="16">
        <v>0.25700000000000001</v>
      </c>
      <c r="Q8" s="16">
        <v>-0.25900000000000001</v>
      </c>
      <c r="R8" s="3">
        <f>208268815057+251657059</f>
        <v>208520472116</v>
      </c>
      <c r="S8" s="3">
        <f>140088301532+322593506</f>
        <v>140410895038</v>
      </c>
      <c r="T8" s="3">
        <f t="shared" si="6"/>
        <v>68109577078</v>
      </c>
      <c r="U8" s="15">
        <f t="shared" si="7"/>
        <v>0.24419412324707182</v>
      </c>
      <c r="V8" s="16">
        <f t="shared" si="8"/>
        <v>1.7420990100596062E-13</v>
      </c>
      <c r="W8" s="16">
        <f t="shared" si="9"/>
        <v>6.2757889674497455E-2</v>
      </c>
      <c r="X8" s="16">
        <f t="shared" si="10"/>
        <v>-4.9328989683615085E-2</v>
      </c>
      <c r="Y8" s="15">
        <f t="shared" si="11"/>
        <v>1.3428899991056578E-2</v>
      </c>
      <c r="Z8" s="47">
        <f t="shared" si="12"/>
        <v>5.4806571996083187E-2</v>
      </c>
    </row>
    <row r="9" spans="1:26" x14ac:dyDescent="0.25">
      <c r="A9" s="1"/>
      <c r="B9" s="12">
        <v>2022</v>
      </c>
      <c r="C9" s="3">
        <v>102314374301</v>
      </c>
      <c r="D9" s="3">
        <v>30505529896</v>
      </c>
      <c r="E9" s="3">
        <f t="shared" si="0"/>
        <v>71808844405</v>
      </c>
      <c r="F9" s="3">
        <v>809371584010</v>
      </c>
      <c r="G9" s="15">
        <f t="shared" si="1"/>
        <v>8.8721726613165589E-2</v>
      </c>
      <c r="H9" s="16">
        <f t="shared" si="2"/>
        <v>1.2355264500954419E-12</v>
      </c>
      <c r="I9" s="3">
        <v>1083672730660</v>
      </c>
      <c r="J9" s="3">
        <v>970111806482</v>
      </c>
      <c r="K9" s="3">
        <f t="shared" si="3"/>
        <v>113560924178</v>
      </c>
      <c r="L9" s="15">
        <f t="shared" si="4"/>
        <v>0.14030752551920198</v>
      </c>
      <c r="M9" s="3">
        <v>121859771717</v>
      </c>
      <c r="N9" s="15">
        <f t="shared" si="5"/>
        <v>0.15056097115894593</v>
      </c>
      <c r="O9" s="16">
        <v>0.11600000000000001</v>
      </c>
      <c r="P9" s="16">
        <v>0.25700000000000001</v>
      </c>
      <c r="Q9" s="16">
        <v>-0.25900000000000001</v>
      </c>
      <c r="R9" s="3">
        <f>182647258959+291746573</f>
        <v>182939005532</v>
      </c>
      <c r="S9" s="3">
        <f>208268815057+251657059</f>
        <v>208520472116</v>
      </c>
      <c r="T9" s="3">
        <f t="shared" si="6"/>
        <v>-25581466584</v>
      </c>
      <c r="U9" s="15">
        <f t="shared" si="7"/>
        <v>0.17191410411596666</v>
      </c>
      <c r="V9" s="16">
        <f t="shared" si="8"/>
        <v>1.4332106821107126E-13</v>
      </c>
      <c r="W9" s="16">
        <f t="shared" si="9"/>
        <v>4.4181924757803435E-2</v>
      </c>
      <c r="X9" s="16">
        <f t="shared" si="10"/>
        <v>-3.8995291530166995E-2</v>
      </c>
      <c r="Y9" s="15">
        <f t="shared" si="11"/>
        <v>5.1866332277797633E-3</v>
      </c>
      <c r="Z9" s="47">
        <f t="shared" si="12"/>
        <v>8.3535093385385825E-2</v>
      </c>
    </row>
    <row r="10" spans="1:26" x14ac:dyDescent="0.25">
      <c r="A10" s="1"/>
      <c r="B10" s="12">
        <v>2023</v>
      </c>
      <c r="C10" s="3">
        <v>56643469840</v>
      </c>
      <c r="D10" s="3">
        <v>205332860626</v>
      </c>
      <c r="E10" s="3">
        <f t="shared" si="0"/>
        <v>-148689390786</v>
      </c>
      <c r="F10" s="3">
        <v>863638556466</v>
      </c>
      <c r="G10" s="15">
        <f t="shared" si="1"/>
        <v>-0.17216622587397609</v>
      </c>
      <c r="H10" s="16">
        <f t="shared" si="2"/>
        <v>1.1578917968785341E-12</v>
      </c>
      <c r="I10" s="3">
        <v>857775074318</v>
      </c>
      <c r="J10" s="3">
        <v>1083672730660</v>
      </c>
      <c r="K10" s="3">
        <f t="shared" si="3"/>
        <v>-225897656342</v>
      </c>
      <c r="L10" s="15">
        <f t="shared" si="4"/>
        <v>-0.26156504321248797</v>
      </c>
      <c r="M10" s="3">
        <v>136363047184</v>
      </c>
      <c r="N10" s="15">
        <f t="shared" si="5"/>
        <v>0.15789365373171407</v>
      </c>
      <c r="O10" s="16">
        <v>0.11600000000000001</v>
      </c>
      <c r="P10" s="16">
        <v>0.25700000000000001</v>
      </c>
      <c r="Q10" s="16">
        <v>-0.25900000000000001</v>
      </c>
      <c r="R10" s="3">
        <f>160362412563+665534288</f>
        <v>161027946851</v>
      </c>
      <c r="S10" s="3">
        <f>182647258959+291746573</f>
        <v>182939005532</v>
      </c>
      <c r="T10" s="3">
        <f t="shared" si="6"/>
        <v>-21911058681</v>
      </c>
      <c r="U10" s="15">
        <f t="shared" si="7"/>
        <v>-0.23619440810483386</v>
      </c>
      <c r="V10" s="16">
        <f t="shared" si="8"/>
        <v>1.3431544843790996E-13</v>
      </c>
      <c r="W10" s="16">
        <f t="shared" si="9"/>
        <v>-6.0701962882942301E-2</v>
      </c>
      <c r="X10" s="16">
        <f t="shared" si="10"/>
        <v>-4.089445631651395E-2</v>
      </c>
      <c r="Y10" s="15">
        <f t="shared" si="11"/>
        <v>-0.10159641919932194</v>
      </c>
      <c r="Z10" s="47">
        <f t="shared" si="12"/>
        <v>-7.0569806674654151E-2</v>
      </c>
    </row>
    <row r="11" spans="1:26" x14ac:dyDescent="0.25">
      <c r="A11" s="1" t="s">
        <v>5</v>
      </c>
      <c r="B11" s="12">
        <v>2021</v>
      </c>
      <c r="C11" s="3">
        <v>1788496000000</v>
      </c>
      <c r="D11" s="3">
        <v>2606707000000</v>
      </c>
      <c r="E11" s="3">
        <f t="shared" si="0"/>
        <v>-818211000000</v>
      </c>
      <c r="F11" s="3">
        <v>27344672000000</v>
      </c>
      <c r="G11" s="15">
        <f t="shared" si="1"/>
        <v>-2.9922136202621116E-2</v>
      </c>
      <c r="H11" s="16">
        <f t="shared" si="2"/>
        <v>3.6570195466231959E-14</v>
      </c>
      <c r="I11" s="3">
        <v>14771906000000</v>
      </c>
      <c r="J11" s="3">
        <v>14184322000000</v>
      </c>
      <c r="K11" s="3">
        <f t="shared" si="3"/>
        <v>587584000000</v>
      </c>
      <c r="L11" s="15">
        <f t="shared" si="4"/>
        <v>2.1488061732830438E-2</v>
      </c>
      <c r="M11" s="3">
        <v>14342412000000</v>
      </c>
      <c r="N11" s="15">
        <f t="shared" si="5"/>
        <v>0.52450481029723084</v>
      </c>
      <c r="O11" s="16">
        <v>0.11600000000000001</v>
      </c>
      <c r="P11" s="16">
        <v>0.25700000000000001</v>
      </c>
      <c r="Q11" s="16">
        <v>-0.25900000000000001</v>
      </c>
      <c r="R11" s="3">
        <f>12684000000+2574108000000+30926000000</f>
        <v>2617718000000</v>
      </c>
      <c r="S11" s="3">
        <f>12464000000+2572188000000+35858000000</f>
        <v>2620510000000</v>
      </c>
      <c r="T11" s="3">
        <f t="shared" si="6"/>
        <v>-2792000000</v>
      </c>
      <c r="U11" s="15">
        <f t="shared" si="7"/>
        <v>2.1590165718572158E-2</v>
      </c>
      <c r="V11" s="16">
        <f t="shared" si="8"/>
        <v>4.2421426740829076E-15</v>
      </c>
      <c r="W11" s="16">
        <f t="shared" si="9"/>
        <v>5.5486725896730449E-3</v>
      </c>
      <c r="X11" s="16">
        <f t="shared" si="10"/>
        <v>-0.13584674586698278</v>
      </c>
      <c r="Y11" s="15">
        <f t="shared" si="11"/>
        <v>-0.1302980732773055</v>
      </c>
      <c r="Z11" s="47">
        <f t="shared" si="12"/>
        <v>0.10037593707468438</v>
      </c>
    </row>
    <row r="12" spans="1:26" x14ac:dyDescent="0.25">
      <c r="A12" s="1"/>
      <c r="B12" s="12">
        <v>2022</v>
      </c>
      <c r="C12" s="3">
        <v>1842434000000</v>
      </c>
      <c r="D12" s="3">
        <v>2401773000000</v>
      </c>
      <c r="E12" s="3">
        <f t="shared" si="0"/>
        <v>-559339000000</v>
      </c>
      <c r="F12" s="3">
        <v>26136114000000</v>
      </c>
      <c r="G12" s="15">
        <f t="shared" si="1"/>
        <v>-2.1401000929212353E-2</v>
      </c>
      <c r="H12" s="16">
        <f t="shared" si="2"/>
        <v>3.8261235009917696E-14</v>
      </c>
      <c r="I12" s="3">
        <v>16328278000000</v>
      </c>
      <c r="J12" s="3">
        <v>14771906000000</v>
      </c>
      <c r="K12" s="3">
        <f t="shared" si="3"/>
        <v>1556372000000</v>
      </c>
      <c r="L12" s="15">
        <f t="shared" si="4"/>
        <v>5.9548714854855619E-2</v>
      </c>
      <c r="M12" s="3">
        <v>14894921000000</v>
      </c>
      <c r="N12" s="15">
        <f t="shared" si="5"/>
        <v>0.56989807283515825</v>
      </c>
      <c r="O12" s="16">
        <v>0.11600000000000001</v>
      </c>
      <c r="P12" s="16">
        <v>0.25700000000000001</v>
      </c>
      <c r="Q12" s="16">
        <v>-0.25900000000000001</v>
      </c>
      <c r="R12" s="3">
        <f>6551000000+2645121000000+34023000000</f>
        <v>2685695000000</v>
      </c>
      <c r="S12" s="3">
        <f>12684000000+2574108000000+30926000000</f>
        <v>2617718000000</v>
      </c>
      <c r="T12" s="3">
        <f t="shared" si="6"/>
        <v>67977000000</v>
      </c>
      <c r="U12" s="15">
        <f t="shared" si="7"/>
        <v>5.6947830882586446E-2</v>
      </c>
      <c r="V12" s="16">
        <f t="shared" si="8"/>
        <v>4.4383032611504532E-15</v>
      </c>
      <c r="W12" s="16">
        <f t="shared" si="9"/>
        <v>1.4635592536824718E-2</v>
      </c>
      <c r="X12" s="16">
        <f t="shared" si="10"/>
        <v>-0.14760360086430599</v>
      </c>
      <c r="Y12" s="15">
        <f t="shared" si="11"/>
        <v>-0.13296800832747682</v>
      </c>
      <c r="Z12" s="47">
        <f t="shared" si="12"/>
        <v>0.11156700739826447</v>
      </c>
    </row>
    <row r="13" spans="1:26" x14ac:dyDescent="0.25">
      <c r="A13" s="1"/>
      <c r="B13" s="12">
        <v>2023</v>
      </c>
      <c r="C13" s="3">
        <v>1950266000000</v>
      </c>
      <c r="D13" s="3">
        <v>3485045000000</v>
      </c>
      <c r="E13" s="3">
        <f t="shared" si="0"/>
        <v>-1534779000000</v>
      </c>
      <c r="F13" s="3">
        <v>25706169000000</v>
      </c>
      <c r="G13" s="15">
        <f t="shared" si="1"/>
        <v>-5.9704695787225238E-2</v>
      </c>
      <c r="H13" s="16">
        <f t="shared" si="2"/>
        <v>3.8901168042581533E-14</v>
      </c>
      <c r="I13" s="3">
        <v>17949756000000</v>
      </c>
      <c r="J13" s="3">
        <v>16328278000000</v>
      </c>
      <c r="K13" s="3">
        <f t="shared" si="3"/>
        <v>1621478000000</v>
      </c>
      <c r="L13" s="15">
        <f t="shared" si="4"/>
        <v>6.307738815534901E-2</v>
      </c>
      <c r="M13" s="3">
        <v>19155749000000</v>
      </c>
      <c r="N13" s="15">
        <f t="shared" si="5"/>
        <v>0.74518101083051314</v>
      </c>
      <c r="O13" s="16">
        <v>0.11600000000000001</v>
      </c>
      <c r="P13" s="16">
        <v>0.25700000000000001</v>
      </c>
      <c r="Q13" s="16">
        <v>-0.25900000000000001</v>
      </c>
      <c r="R13" s="3">
        <f>29655000000+2712320000000+43818000000</f>
        <v>2785793000000</v>
      </c>
      <c r="S13" s="3">
        <f>6551000000+2645121000000+34023000000</f>
        <v>2685695000000</v>
      </c>
      <c r="T13" s="3">
        <f t="shared" si="6"/>
        <v>100098000000</v>
      </c>
      <c r="U13" s="15">
        <f t="shared" si="7"/>
        <v>5.9183459036622685E-2</v>
      </c>
      <c r="V13" s="16">
        <f t="shared" si="8"/>
        <v>4.512535492939458E-15</v>
      </c>
      <c r="W13" s="16">
        <f t="shared" si="9"/>
        <v>1.5210148972412031E-2</v>
      </c>
      <c r="X13" s="16">
        <f t="shared" si="10"/>
        <v>-0.19300188180510292</v>
      </c>
      <c r="Y13" s="15">
        <f t="shared" si="11"/>
        <v>-0.17779173283268637</v>
      </c>
      <c r="Z13" s="47">
        <f t="shared" si="12"/>
        <v>0.11808703704546114</v>
      </c>
    </row>
    <row r="14" spans="1:26" x14ac:dyDescent="0.25">
      <c r="A14" s="1" t="s">
        <v>6</v>
      </c>
      <c r="B14" s="12">
        <v>2021</v>
      </c>
      <c r="C14" s="3">
        <v>486061000000</v>
      </c>
      <c r="D14" s="3">
        <v>-110281000000</v>
      </c>
      <c r="E14" s="3">
        <f t="shared" si="0"/>
        <v>596342000000</v>
      </c>
      <c r="F14" s="3">
        <v>6076604000000</v>
      </c>
      <c r="G14" s="15">
        <f t="shared" si="1"/>
        <v>9.8137380681709713E-2</v>
      </c>
      <c r="H14" s="16">
        <f t="shared" si="2"/>
        <v>1.6456560276101585E-13</v>
      </c>
      <c r="I14" s="3">
        <v>5378808000000</v>
      </c>
      <c r="J14" s="3">
        <v>3775530000000</v>
      </c>
      <c r="K14" s="3">
        <f t="shared" si="3"/>
        <v>1603278000000</v>
      </c>
      <c r="L14" s="15">
        <f t="shared" si="4"/>
        <v>0.26384441046347595</v>
      </c>
      <c r="M14" s="3">
        <v>2214814000000</v>
      </c>
      <c r="N14" s="15">
        <f t="shared" si="5"/>
        <v>0.36448220091353656</v>
      </c>
      <c r="O14" s="16">
        <v>0.11600000000000001</v>
      </c>
      <c r="P14" s="16">
        <v>0.25700000000000001</v>
      </c>
      <c r="Q14" s="16">
        <v>-0.25900000000000001</v>
      </c>
      <c r="R14" s="3">
        <f>972698000000+46886000000+1618000000</f>
        <v>1021202000000</v>
      </c>
      <c r="S14" s="3">
        <f>830077000000+18222000000+4179000000+2230000000</f>
        <v>854708000000</v>
      </c>
      <c r="T14" s="3">
        <f t="shared" si="6"/>
        <v>166494000000</v>
      </c>
      <c r="U14" s="15">
        <f t="shared" si="7"/>
        <v>0.23644522499738341</v>
      </c>
      <c r="V14" s="16">
        <f t="shared" si="8"/>
        <v>1.9089609920277841E-14</v>
      </c>
      <c r="W14" s="16">
        <f t="shared" si="9"/>
        <v>6.0766422824327537E-2</v>
      </c>
      <c r="X14" s="16">
        <f t="shared" si="10"/>
        <v>-9.4400890036605969E-2</v>
      </c>
      <c r="Y14" s="15">
        <f t="shared" si="11"/>
        <v>-3.3634467212259343E-2</v>
      </c>
      <c r="Z14" s="47">
        <f t="shared" si="12"/>
        <v>0.13177184789396906</v>
      </c>
    </row>
    <row r="15" spans="1:26" x14ac:dyDescent="0.25">
      <c r="A15" s="1"/>
      <c r="B15" s="12">
        <v>2022</v>
      </c>
      <c r="C15" s="3">
        <v>305849000000</v>
      </c>
      <c r="D15" s="3">
        <v>-31546000000</v>
      </c>
      <c r="E15" s="3">
        <f t="shared" si="0"/>
        <v>337395000000</v>
      </c>
      <c r="F15" s="3">
        <v>7097322000000</v>
      </c>
      <c r="G15" s="15">
        <f t="shared" si="1"/>
        <v>4.7538353198572643E-2</v>
      </c>
      <c r="H15" s="16">
        <f t="shared" si="2"/>
        <v>1.4089821484779752E-13</v>
      </c>
      <c r="I15" s="3">
        <v>6255945000000</v>
      </c>
      <c r="J15" s="3">
        <v>5378808000000</v>
      </c>
      <c r="K15" s="3">
        <f t="shared" si="3"/>
        <v>877137000000</v>
      </c>
      <c r="L15" s="15">
        <f t="shared" si="4"/>
        <v>0.12358703747695257</v>
      </c>
      <c r="M15" s="3">
        <v>2471517000000</v>
      </c>
      <c r="N15" s="15">
        <f t="shared" si="5"/>
        <v>0.34823233326598396</v>
      </c>
      <c r="O15" s="16">
        <v>0.11600000000000001</v>
      </c>
      <c r="P15" s="16">
        <v>0.25700000000000001</v>
      </c>
      <c r="Q15" s="16">
        <v>-0.25900000000000001</v>
      </c>
      <c r="R15" s="3">
        <f>1121111000000+38750000000+1705000000</f>
        <v>1161566000000</v>
      </c>
      <c r="S15" s="3">
        <f>972698000000+46886000000+1618000000</f>
        <v>1021202000000</v>
      </c>
      <c r="T15" s="3">
        <f t="shared" si="6"/>
        <v>140364000000</v>
      </c>
      <c r="U15" s="15">
        <f t="shared" si="7"/>
        <v>0.10381000044805633</v>
      </c>
      <c r="V15" s="16">
        <f t="shared" si="8"/>
        <v>1.6344192922344512E-14</v>
      </c>
      <c r="W15" s="16">
        <f t="shared" si="9"/>
        <v>2.6679170115150478E-2</v>
      </c>
      <c r="X15" s="16">
        <f t="shared" si="10"/>
        <v>-9.0192174315889856E-2</v>
      </c>
      <c r="Y15" s="15">
        <f t="shared" si="11"/>
        <v>-6.3513004200723033E-2</v>
      </c>
      <c r="Z15" s="47">
        <f t="shared" si="12"/>
        <v>0.11105135739929567</v>
      </c>
    </row>
    <row r="16" spans="1:26" x14ac:dyDescent="0.25">
      <c r="A16" s="1"/>
      <c r="B16" s="12">
        <v>2023</v>
      </c>
      <c r="C16" s="3">
        <v>498059000000</v>
      </c>
      <c r="D16" s="3">
        <v>201569000000</v>
      </c>
      <c r="E16" s="3">
        <f t="shared" si="0"/>
        <v>296490000000</v>
      </c>
      <c r="F16" s="3">
        <v>7405931000000</v>
      </c>
      <c r="G16" s="15">
        <f t="shared" si="1"/>
        <v>4.003412940250186E-2</v>
      </c>
      <c r="H16" s="16">
        <f t="shared" si="2"/>
        <v>1.350269128891425E-13</v>
      </c>
      <c r="I16" s="3">
        <v>6455329000000</v>
      </c>
      <c r="J16" s="3">
        <v>6255945000000</v>
      </c>
      <c r="K16" s="3">
        <f t="shared" si="3"/>
        <v>199384000000</v>
      </c>
      <c r="L16" s="15">
        <f t="shared" si="4"/>
        <v>2.6922205999488788E-2</v>
      </c>
      <c r="M16" s="3">
        <v>2450464000000</v>
      </c>
      <c r="N16" s="15">
        <f t="shared" si="5"/>
        <v>0.33087858906597967</v>
      </c>
      <c r="O16" s="16">
        <v>0.11600000000000001</v>
      </c>
      <c r="P16" s="16">
        <v>0.25700000000000001</v>
      </c>
      <c r="Q16" s="16">
        <v>-0.25900000000000001</v>
      </c>
      <c r="R16" s="3">
        <f>1102407000000+32386000000+1463000000</f>
        <v>1136256000000</v>
      </c>
      <c r="S16" s="3">
        <f>1121111000000+38750000000+1705000000</f>
        <v>1161566000000</v>
      </c>
      <c r="T16" s="3">
        <f t="shared" si="6"/>
        <v>-25310000000</v>
      </c>
      <c r="U16" s="15">
        <f t="shared" si="7"/>
        <v>3.0339737164712985E-2</v>
      </c>
      <c r="V16" s="16">
        <f t="shared" si="8"/>
        <v>1.5663121895140531E-14</v>
      </c>
      <c r="W16" s="16">
        <f t="shared" si="9"/>
        <v>7.797312451331237E-3</v>
      </c>
      <c r="X16" s="16">
        <f t="shared" si="10"/>
        <v>-8.5697554568088738E-2</v>
      </c>
      <c r="Y16" s="15">
        <f t="shared" si="11"/>
        <v>-7.7900242116741833E-2</v>
      </c>
      <c r="Z16" s="47">
        <f t="shared" si="12"/>
        <v>0.11793437151924369</v>
      </c>
    </row>
    <row r="17" spans="1:26" x14ac:dyDescent="0.25">
      <c r="A17" s="1" t="s">
        <v>7</v>
      </c>
      <c r="B17" s="12">
        <v>2021</v>
      </c>
      <c r="C17" s="3">
        <v>305732000000</v>
      </c>
      <c r="D17" s="3">
        <v>437946000000</v>
      </c>
      <c r="E17" s="3">
        <f t="shared" si="0"/>
        <v>-132214000000</v>
      </c>
      <c r="F17" s="3">
        <v>5524302000000</v>
      </c>
      <c r="G17" s="15">
        <f t="shared" si="1"/>
        <v>-2.3933159338501046E-2</v>
      </c>
      <c r="H17" s="16">
        <f t="shared" si="2"/>
        <v>1.8101834403694801E-13</v>
      </c>
      <c r="I17" s="3">
        <v>6635544000000</v>
      </c>
      <c r="J17" s="3">
        <v>5592338000000</v>
      </c>
      <c r="K17" s="3">
        <f t="shared" si="3"/>
        <v>1043206000000</v>
      </c>
      <c r="L17" s="15">
        <f t="shared" si="4"/>
        <v>0.18883942260940839</v>
      </c>
      <c r="M17" s="3">
        <v>1815374000000</v>
      </c>
      <c r="N17" s="15">
        <f t="shared" si="5"/>
        <v>0.32861599528773044</v>
      </c>
      <c r="O17" s="16">
        <v>0.11600000000000001</v>
      </c>
      <c r="P17" s="16">
        <v>0.25700000000000001</v>
      </c>
      <c r="Q17" s="16">
        <v>-0.25900000000000001</v>
      </c>
      <c r="R17" s="3">
        <f>1018590000000+6465000000+5291000000</f>
        <v>1030346000000</v>
      </c>
      <c r="S17" s="3">
        <f>813755000000+2813000000+134879000000</f>
        <v>951447000000</v>
      </c>
      <c r="T17" s="3">
        <f t="shared" si="6"/>
        <v>78899000000</v>
      </c>
      <c r="U17" s="15">
        <f t="shared" si="7"/>
        <v>0.17455725628323723</v>
      </c>
      <c r="V17" s="16">
        <f t="shared" si="8"/>
        <v>2.0998127908285969E-14</v>
      </c>
      <c r="W17" s="16">
        <f t="shared" si="9"/>
        <v>4.4861214864791971E-2</v>
      </c>
      <c r="X17" s="16">
        <f t="shared" si="10"/>
        <v>-8.5111542779522181E-2</v>
      </c>
      <c r="Y17" s="15">
        <f t="shared" si="11"/>
        <v>-4.0250327914709214E-2</v>
      </c>
      <c r="Z17" s="47">
        <f t="shared" si="12"/>
        <v>1.6317168576208168E-2</v>
      </c>
    </row>
    <row r="18" spans="1:26" x14ac:dyDescent="0.25">
      <c r="A18" s="1"/>
      <c r="B18" s="12">
        <v>2022</v>
      </c>
      <c r="C18" s="3">
        <v>340580000000</v>
      </c>
      <c r="D18" s="3">
        <v>281622000000</v>
      </c>
      <c r="E18" s="3">
        <f t="shared" si="0"/>
        <v>58958000000</v>
      </c>
      <c r="F18" s="3">
        <v>6217987000000</v>
      </c>
      <c r="G18" s="15">
        <f t="shared" si="1"/>
        <v>9.4818467777433441E-3</v>
      </c>
      <c r="H18" s="16">
        <f t="shared" si="2"/>
        <v>1.6082375212428073E-13</v>
      </c>
      <c r="I18" s="3">
        <v>7879115000000</v>
      </c>
      <c r="J18" s="3">
        <v>6635544000000</v>
      </c>
      <c r="K18" s="3">
        <f t="shared" si="3"/>
        <v>1243571000000</v>
      </c>
      <c r="L18" s="15">
        <f t="shared" si="4"/>
        <v>0.19999575425294391</v>
      </c>
      <c r="M18" s="3">
        <v>1821992000000</v>
      </c>
      <c r="N18" s="15">
        <f t="shared" si="5"/>
        <v>0.29301958978042253</v>
      </c>
      <c r="O18" s="16">
        <v>0.11600000000000001</v>
      </c>
      <c r="P18" s="16">
        <v>0.25700000000000001</v>
      </c>
      <c r="Q18" s="16">
        <v>-0.25900000000000001</v>
      </c>
      <c r="R18" s="3">
        <f>1050846000000+1884000000+44024000000</f>
        <v>1096754000000</v>
      </c>
      <c r="S18" s="3">
        <f>1018590000000+6465000000+5291000000</f>
        <v>1030346000000</v>
      </c>
      <c r="T18" s="3">
        <f t="shared" si="6"/>
        <v>66408000000</v>
      </c>
      <c r="U18" s="15">
        <f t="shared" si="7"/>
        <v>0.18931577052187468</v>
      </c>
      <c r="V18" s="16">
        <f t="shared" si="8"/>
        <v>1.8655555246416564E-14</v>
      </c>
      <c r="W18" s="16">
        <f t="shared" si="9"/>
        <v>4.8654153024121793E-2</v>
      </c>
      <c r="X18" s="16">
        <f t="shared" si="10"/>
        <v>-7.5892073753129438E-2</v>
      </c>
      <c r="Y18" s="15">
        <f t="shared" si="11"/>
        <v>-2.7237920728988986E-2</v>
      </c>
      <c r="Z18" s="47">
        <f t="shared" si="12"/>
        <v>3.671976750673233E-2</v>
      </c>
    </row>
    <row r="19" spans="1:26" x14ac:dyDescent="0.25">
      <c r="A19" s="1"/>
      <c r="B19" s="12">
        <v>2023</v>
      </c>
      <c r="C19" s="3">
        <v>167445000000</v>
      </c>
      <c r="D19" s="3">
        <v>583302000000</v>
      </c>
      <c r="E19" s="3">
        <f t="shared" si="0"/>
        <v>-415857000000</v>
      </c>
      <c r="F19" s="3">
        <v>6094139000000</v>
      </c>
      <c r="G19" s="15">
        <f t="shared" si="1"/>
        <v>-6.8238843912158884E-2</v>
      </c>
      <c r="H19" s="16">
        <f t="shared" si="2"/>
        <v>1.6409208913679192E-13</v>
      </c>
      <c r="I19" s="3">
        <v>7316902000000</v>
      </c>
      <c r="J19" s="3">
        <v>7879115000000</v>
      </c>
      <c r="K19" s="3">
        <f t="shared" si="3"/>
        <v>-562213000000</v>
      </c>
      <c r="L19" s="15">
        <f t="shared" si="4"/>
        <v>-9.2254705709863202E-2</v>
      </c>
      <c r="M19" s="3">
        <v>1754813000000</v>
      </c>
      <c r="N19" s="15">
        <f t="shared" si="5"/>
        <v>0.28795093121440124</v>
      </c>
      <c r="O19" s="16">
        <v>0.11600000000000001</v>
      </c>
      <c r="P19" s="16">
        <v>0.25700000000000001</v>
      </c>
      <c r="Q19" s="16">
        <v>-0.25900000000000001</v>
      </c>
      <c r="R19" s="3">
        <f>1017265000000+2911000000+46555000000</f>
        <v>1066731000000</v>
      </c>
      <c r="S19" s="3">
        <f>1050846000000+1884000000+44024000000</f>
        <v>1096754000000</v>
      </c>
      <c r="T19" s="3">
        <f t="shared" si="6"/>
        <v>-30023000000</v>
      </c>
      <c r="U19" s="15">
        <f t="shared" si="7"/>
        <v>-8.7328168917709295E-2</v>
      </c>
      <c r="V19" s="16">
        <f t="shared" si="8"/>
        <v>1.9034682339867864E-14</v>
      </c>
      <c r="W19" s="16">
        <f t="shared" si="9"/>
        <v>-2.2443339411851289E-2</v>
      </c>
      <c r="X19" s="16">
        <f t="shared" si="10"/>
        <v>-7.4579291184529925E-2</v>
      </c>
      <c r="Y19" s="15">
        <f t="shared" si="11"/>
        <v>-9.702263059636218E-2</v>
      </c>
      <c r="Z19" s="47">
        <f t="shared" si="12"/>
        <v>2.8783786684203297E-2</v>
      </c>
    </row>
    <row r="20" spans="1:26" x14ac:dyDescent="0.25">
      <c r="A20" s="1" t="s">
        <v>8</v>
      </c>
      <c r="B20" s="12">
        <v>2021</v>
      </c>
      <c r="C20" s="3">
        <v>46705891000</v>
      </c>
      <c r="D20" s="3">
        <v>171566369000</v>
      </c>
      <c r="E20" s="3">
        <f t="shared" si="0"/>
        <v>-124860478000</v>
      </c>
      <c r="F20" s="3">
        <v>5737175560000</v>
      </c>
      <c r="G20" s="15">
        <f t="shared" si="1"/>
        <v>-2.1763405476125958E-2</v>
      </c>
      <c r="H20" s="16">
        <f t="shared" si="2"/>
        <v>1.7430179528966688E-13</v>
      </c>
      <c r="I20" s="3">
        <v>1751585770000</v>
      </c>
      <c r="J20" s="3">
        <v>1721907150000</v>
      </c>
      <c r="K20" s="3">
        <f t="shared" si="3"/>
        <v>29678620000</v>
      </c>
      <c r="L20" s="15">
        <f t="shared" si="4"/>
        <v>5.1730367477198138E-3</v>
      </c>
      <c r="M20" s="3">
        <v>4118810511000</v>
      </c>
      <c r="N20" s="15">
        <f t="shared" si="5"/>
        <v>0.71791606652525031</v>
      </c>
      <c r="O20" s="16">
        <v>0.11600000000000001</v>
      </c>
      <c r="P20" s="16">
        <v>0.25700000000000001</v>
      </c>
      <c r="Q20" s="16">
        <v>-0.25900000000000001</v>
      </c>
      <c r="R20" s="3">
        <f>16445777000+165762388000+618433000</f>
        <v>182826598000</v>
      </c>
      <c r="S20" s="3">
        <f>6766226000+443455943000+2238785000+6106409000</f>
        <v>458567363000</v>
      </c>
      <c r="T20" s="3">
        <f t="shared" si="6"/>
        <v>-275740765000</v>
      </c>
      <c r="U20" s="15">
        <f t="shared" si="7"/>
        <v>5.3235147121765955E-2</v>
      </c>
      <c r="V20" s="16">
        <f t="shared" si="8"/>
        <v>2.021900825360136E-14</v>
      </c>
      <c r="W20" s="16">
        <f t="shared" si="9"/>
        <v>1.3681432810293851E-2</v>
      </c>
      <c r="X20" s="16">
        <f t="shared" si="10"/>
        <v>-0.18594026123003984</v>
      </c>
      <c r="Y20" s="15">
        <f t="shared" si="11"/>
        <v>-0.17225882841972578</v>
      </c>
      <c r="Z20" s="47">
        <f t="shared" si="12"/>
        <v>0.15049542294359983</v>
      </c>
    </row>
    <row r="21" spans="1:26" x14ac:dyDescent="0.25">
      <c r="A21" s="1"/>
      <c r="B21" s="12">
        <v>2022</v>
      </c>
      <c r="C21" s="3">
        <v>94827889000</v>
      </c>
      <c r="D21" s="3">
        <v>411196927000</v>
      </c>
      <c r="E21" s="3">
        <f t="shared" si="0"/>
        <v>-316369038000</v>
      </c>
      <c r="F21" s="3">
        <v>5271953697000</v>
      </c>
      <c r="G21" s="15">
        <f t="shared" si="1"/>
        <v>-6.0009828648538675E-2</v>
      </c>
      <c r="H21" s="16">
        <f t="shared" si="2"/>
        <v>1.8968300130728557E-13</v>
      </c>
      <c r="I21" s="3">
        <v>1881767356000</v>
      </c>
      <c r="J21" s="3">
        <v>1751585770000</v>
      </c>
      <c r="K21" s="3">
        <f t="shared" si="3"/>
        <v>130181586000</v>
      </c>
      <c r="L21" s="15">
        <f t="shared" si="4"/>
        <v>2.469323394742251E-2</v>
      </c>
      <c r="M21" s="3">
        <v>4043993169000</v>
      </c>
      <c r="N21" s="15">
        <f t="shared" si="5"/>
        <v>0.76707676156208093</v>
      </c>
      <c r="O21" s="16">
        <v>0.11600000000000001</v>
      </c>
      <c r="P21" s="16">
        <v>0.25700000000000001</v>
      </c>
      <c r="Q21" s="16">
        <v>-0.25900000000000001</v>
      </c>
      <c r="R21" s="3">
        <f>8417530000+212628905000+2841773000+348513000</f>
        <v>224236721000</v>
      </c>
      <c r="S21" s="3">
        <f>16445777000+165762388000+618433000</f>
        <v>182826598000</v>
      </c>
      <c r="T21" s="3">
        <f t="shared" si="6"/>
        <v>41410123000</v>
      </c>
      <c r="U21" s="15">
        <f t="shared" si="7"/>
        <v>1.6838437532278653E-2</v>
      </c>
      <c r="V21" s="16">
        <f t="shared" si="8"/>
        <v>2.2003228151645127E-14</v>
      </c>
      <c r="W21" s="16">
        <f t="shared" si="9"/>
        <v>4.327478445795614E-3</v>
      </c>
      <c r="X21" s="16">
        <f t="shared" si="10"/>
        <v>-0.19867288124457896</v>
      </c>
      <c r="Y21" s="15">
        <f t="shared" si="11"/>
        <v>-0.19434540279876134</v>
      </c>
      <c r="Z21" s="47">
        <f t="shared" si="12"/>
        <v>0.13433557415022265</v>
      </c>
    </row>
    <row r="22" spans="1:26" x14ac:dyDescent="0.25">
      <c r="A22" s="1"/>
      <c r="B22" s="12">
        <v>2023</v>
      </c>
      <c r="C22" s="3">
        <v>121572505000</v>
      </c>
      <c r="D22" s="3">
        <v>296497994000</v>
      </c>
      <c r="E22" s="3">
        <f t="shared" si="0"/>
        <v>-174925489000</v>
      </c>
      <c r="F22" s="3">
        <v>5211248525000</v>
      </c>
      <c r="G22" s="15">
        <f t="shared" si="1"/>
        <v>-3.3566905926828733E-2</v>
      </c>
      <c r="H22" s="16">
        <f t="shared" si="2"/>
        <v>1.9189259449106776E-13</v>
      </c>
      <c r="I22" s="3">
        <v>2040679390000</v>
      </c>
      <c r="J22" s="3">
        <v>1881767356000</v>
      </c>
      <c r="K22" s="3">
        <f t="shared" si="3"/>
        <v>158912034000</v>
      </c>
      <c r="L22" s="15">
        <f t="shared" si="4"/>
        <v>3.0494042500112773E-2</v>
      </c>
      <c r="M22" s="3">
        <v>3955399358000</v>
      </c>
      <c r="N22" s="15">
        <f t="shared" si="5"/>
        <v>0.75901184505492381</v>
      </c>
      <c r="O22" s="16">
        <v>0.11600000000000001</v>
      </c>
      <c r="P22" s="16">
        <v>0.25700000000000001</v>
      </c>
      <c r="Q22" s="16">
        <v>-0.25900000000000001</v>
      </c>
      <c r="R22" s="3">
        <f>336458042000+122511356000+3133125000+3503000</f>
        <v>462106026000</v>
      </c>
      <c r="S22" s="3">
        <f>8417530000+212628905000+2841773000+348513000</f>
        <v>224236721000</v>
      </c>
      <c r="T22" s="3">
        <f t="shared" si="6"/>
        <v>237869305000</v>
      </c>
      <c r="U22" s="15">
        <f t="shared" si="7"/>
        <v>-1.5151315586124344E-2</v>
      </c>
      <c r="V22" s="16">
        <f t="shared" si="8"/>
        <v>2.225954096096386E-14</v>
      </c>
      <c r="W22" s="16">
        <f t="shared" si="9"/>
        <v>-3.8938881056339563E-3</v>
      </c>
      <c r="X22" s="16">
        <f t="shared" si="10"/>
        <v>-0.19658406786922528</v>
      </c>
      <c r="Y22" s="15">
        <f t="shared" si="11"/>
        <v>-0.20047795597483697</v>
      </c>
      <c r="Z22" s="47">
        <f t="shared" si="12"/>
        <v>0.16691105004800824</v>
      </c>
    </row>
    <row r="23" spans="1:26" x14ac:dyDescent="0.25">
      <c r="A23" s="1" t="s">
        <v>9</v>
      </c>
      <c r="B23" s="12">
        <v>2021</v>
      </c>
      <c r="C23" s="3">
        <v>713344000000</v>
      </c>
      <c r="D23" s="3">
        <v>1536576000000</v>
      </c>
      <c r="E23" s="3">
        <f t="shared" si="0"/>
        <v>-823232000000</v>
      </c>
      <c r="F23" s="3">
        <v>20738125000000</v>
      </c>
      <c r="G23" s="15">
        <f t="shared" si="1"/>
        <v>-3.9696549229981011E-2</v>
      </c>
      <c r="H23" s="16">
        <f t="shared" si="2"/>
        <v>4.8220367077544376E-14</v>
      </c>
      <c r="I23" s="3">
        <v>11218181000000</v>
      </c>
      <c r="J23" s="3">
        <v>10108220000000</v>
      </c>
      <c r="K23" s="3">
        <f t="shared" si="3"/>
        <v>1109961000000</v>
      </c>
      <c r="L23" s="15">
        <f t="shared" si="4"/>
        <v>5.3522726861758234E-2</v>
      </c>
      <c r="M23" s="3">
        <v>15007206000000</v>
      </c>
      <c r="N23" s="15">
        <f t="shared" si="5"/>
        <v>0.72365298212832641</v>
      </c>
      <c r="O23" s="16">
        <v>0.11600000000000001</v>
      </c>
      <c r="P23" s="16">
        <v>0.25700000000000001</v>
      </c>
      <c r="Q23" s="16">
        <v>-0.25900000000000001</v>
      </c>
      <c r="R23" s="3">
        <f>151930000000+3128112000000+119160000000+71094000000</f>
        <v>3470296000000</v>
      </c>
      <c r="S23" s="3">
        <f>312708000000+2024834000000+45756000000+32513000000</f>
        <v>2415811000000</v>
      </c>
      <c r="T23" s="3">
        <f t="shared" si="6"/>
        <v>1054485000000</v>
      </c>
      <c r="U23" s="15">
        <f t="shared" si="7"/>
        <v>2.6750730839938518E-3</v>
      </c>
      <c r="V23" s="16">
        <f t="shared" si="8"/>
        <v>5.5935625809951477E-15</v>
      </c>
      <c r="W23" s="16">
        <f t="shared" si="9"/>
        <v>6.8749378258641989E-4</v>
      </c>
      <c r="X23" s="16">
        <f t="shared" si="10"/>
        <v>-0.18742612237123654</v>
      </c>
      <c r="Y23" s="15">
        <f t="shared" si="11"/>
        <v>-0.18673862858864454</v>
      </c>
      <c r="Z23" s="47">
        <f t="shared" si="12"/>
        <v>0.14704207935866354</v>
      </c>
    </row>
    <row r="24" spans="1:26" x14ac:dyDescent="0.25">
      <c r="A24" s="1"/>
      <c r="B24" s="12">
        <v>2022</v>
      </c>
      <c r="C24" s="3">
        <v>839276000000</v>
      </c>
      <c r="D24" s="3">
        <v>2995242000000</v>
      </c>
      <c r="E24" s="3">
        <f t="shared" si="0"/>
        <v>-2155966000000</v>
      </c>
      <c r="F24" s="3">
        <v>21491023000000</v>
      </c>
      <c r="G24" s="15">
        <f t="shared" si="1"/>
        <v>-0.10031937521075661</v>
      </c>
      <c r="H24" s="16">
        <f t="shared" si="2"/>
        <v>4.6531056246135884E-14</v>
      </c>
      <c r="I24" s="3">
        <v>12262048000000</v>
      </c>
      <c r="J24" s="3">
        <v>11218181000000</v>
      </c>
      <c r="K24" s="3">
        <f t="shared" si="3"/>
        <v>1043867000000</v>
      </c>
      <c r="L24" s="15">
        <f t="shared" si="4"/>
        <v>4.8572234090485132E-2</v>
      </c>
      <c r="M24" s="3">
        <v>15260436000000</v>
      </c>
      <c r="N24" s="15">
        <f t="shared" si="5"/>
        <v>0.71008420585655696</v>
      </c>
      <c r="O24" s="16">
        <v>0.11600000000000001</v>
      </c>
      <c r="P24" s="16">
        <v>0.25700000000000001</v>
      </c>
      <c r="Q24" s="16">
        <v>-0.25900000000000001</v>
      </c>
      <c r="R24" s="3">
        <f>250343000000+2476106000000+71635000000+83386000000</f>
        <v>2881470000000</v>
      </c>
      <c r="S24" s="3">
        <f>151930000000+3128112000000+119160000000+71094000000</f>
        <v>3470296000000</v>
      </c>
      <c r="T24" s="3">
        <f t="shared" si="6"/>
        <v>-588826000000</v>
      </c>
      <c r="U24" s="15">
        <f t="shared" si="7"/>
        <v>7.5970929815672342E-2</v>
      </c>
      <c r="V24" s="16">
        <f t="shared" si="8"/>
        <v>5.3976025245517625E-15</v>
      </c>
      <c r="W24" s="16">
        <f t="shared" si="9"/>
        <v>1.9524528962627793E-2</v>
      </c>
      <c r="X24" s="16">
        <f t="shared" si="10"/>
        <v>-0.18391180931684825</v>
      </c>
      <c r="Y24" s="15">
        <f t="shared" si="11"/>
        <v>-0.16438728035421507</v>
      </c>
      <c r="Z24" s="47">
        <f t="shared" si="12"/>
        <v>6.4067905143458462E-2</v>
      </c>
    </row>
    <row r="25" spans="1:26" x14ac:dyDescent="0.25">
      <c r="A25" s="1"/>
      <c r="B25" s="12">
        <v>2023</v>
      </c>
      <c r="C25" s="3">
        <v>894645000000</v>
      </c>
      <c r="D25" s="3">
        <v>1208081000000</v>
      </c>
      <c r="E25" s="3">
        <f t="shared" si="0"/>
        <v>-313436000000</v>
      </c>
      <c r="F25" s="3">
        <v>21378510000000</v>
      </c>
      <c r="G25" s="15">
        <f t="shared" si="1"/>
        <v>-1.4661264980580967E-2</v>
      </c>
      <c r="H25" s="16">
        <f t="shared" si="2"/>
        <v>4.6775944628507788E-14</v>
      </c>
      <c r="I25" s="3">
        <v>12371333000000</v>
      </c>
      <c r="J25" s="3">
        <v>12262048000000</v>
      </c>
      <c r="K25" s="3">
        <f t="shared" si="3"/>
        <v>109285000000</v>
      </c>
      <c r="L25" s="15">
        <f t="shared" si="4"/>
        <v>5.1119091087264736E-3</v>
      </c>
      <c r="M25" s="3">
        <v>15383772000000</v>
      </c>
      <c r="N25" s="15">
        <f t="shared" si="5"/>
        <v>0.71959046724958853</v>
      </c>
      <c r="O25" s="16">
        <v>0.11600000000000001</v>
      </c>
      <c r="P25" s="16">
        <v>0.25700000000000001</v>
      </c>
      <c r="Q25" s="16">
        <v>-0.25900000000000001</v>
      </c>
      <c r="R25" s="3">
        <f>198850000000+3588223000000+109299000000+110318000000</f>
        <v>4006690000000</v>
      </c>
      <c r="S25" s="3">
        <f>250343000000+2476106000000+71635000000+83386000000</f>
        <v>2881470000000</v>
      </c>
      <c r="T25" s="3">
        <f t="shared" si="6"/>
        <v>1125220000000</v>
      </c>
      <c r="U25" s="15">
        <f t="shared" si="7"/>
        <v>-4.752131930616306E-2</v>
      </c>
      <c r="V25" s="16">
        <f t="shared" si="8"/>
        <v>5.4260095769069033E-15</v>
      </c>
      <c r="W25" s="16">
        <f t="shared" si="9"/>
        <v>-1.2212979061683907E-2</v>
      </c>
      <c r="X25" s="16">
        <f t="shared" si="10"/>
        <v>-0.18637393101764343</v>
      </c>
      <c r="Y25" s="15">
        <f t="shared" si="11"/>
        <v>-0.19858691007932192</v>
      </c>
      <c r="Z25" s="47">
        <f t="shared" si="12"/>
        <v>0.18392564509874096</v>
      </c>
    </row>
    <row r="26" spans="1:26" x14ac:dyDescent="0.25">
      <c r="A26" s="1" t="s">
        <v>10</v>
      </c>
      <c r="B26" s="12">
        <v>2021</v>
      </c>
      <c r="C26" s="3">
        <v>2117236000000</v>
      </c>
      <c r="D26" s="3">
        <v>6893908000000</v>
      </c>
      <c r="E26" s="3">
        <f t="shared" si="0"/>
        <v>-4776672000000</v>
      </c>
      <c r="F26" s="3">
        <v>78006244000000</v>
      </c>
      <c r="G26" s="15">
        <f t="shared" si="1"/>
        <v>-6.1234482716537413E-2</v>
      </c>
      <c r="H26" s="16">
        <f t="shared" si="2"/>
        <v>1.2819486604174917E-14</v>
      </c>
      <c r="I26" s="3">
        <v>36702301000000</v>
      </c>
      <c r="J26" s="3">
        <v>35171668000000</v>
      </c>
      <c r="K26" s="3">
        <f t="shared" si="3"/>
        <v>1530633000000</v>
      </c>
      <c r="L26" s="15">
        <f t="shared" si="4"/>
        <v>1.9621929239408066E-2</v>
      </c>
      <c r="M26" s="3">
        <v>58839075000000</v>
      </c>
      <c r="N26" s="15">
        <f t="shared" si="5"/>
        <v>0.75428673376454325</v>
      </c>
      <c r="O26" s="16">
        <v>0.11600000000000001</v>
      </c>
      <c r="P26" s="16">
        <v>0.25700000000000001</v>
      </c>
      <c r="Q26" s="16">
        <v>-0.25900000000000001</v>
      </c>
      <c r="R26" s="3">
        <f>1102146000000+4588733000000+121075000000+237551000000</f>
        <v>6049505000000</v>
      </c>
      <c r="S26" s="3">
        <f>1451214000000+4326040000000+116780000000+144004000000</f>
        <v>6038038000000</v>
      </c>
      <c r="T26" s="3">
        <f t="shared" si="6"/>
        <v>11467000000</v>
      </c>
      <c r="U26" s="15">
        <f t="shared" si="7"/>
        <v>1.9474928186517991E-2</v>
      </c>
      <c r="V26" s="16">
        <f t="shared" si="8"/>
        <v>1.4870604460842906E-15</v>
      </c>
      <c r="W26" s="16">
        <f t="shared" si="9"/>
        <v>5.0050565439351234E-3</v>
      </c>
      <c r="X26" s="16">
        <f t="shared" si="10"/>
        <v>-0.19536026404501672</v>
      </c>
      <c r="Y26" s="15">
        <f t="shared" si="11"/>
        <v>-0.19035520750108012</v>
      </c>
      <c r="Z26" s="47">
        <f t="shared" si="12"/>
        <v>0.1291207247845427</v>
      </c>
    </row>
    <row r="27" spans="1:26" x14ac:dyDescent="0.25">
      <c r="A27" s="1"/>
      <c r="B27" s="12">
        <v>2022</v>
      </c>
      <c r="C27" s="3">
        <v>2499083000000</v>
      </c>
      <c r="D27" s="3">
        <v>6037529000000</v>
      </c>
      <c r="E27" s="3">
        <f t="shared" si="0"/>
        <v>-3538446000000</v>
      </c>
      <c r="F27" s="3">
        <v>81766327000000</v>
      </c>
      <c r="G27" s="15">
        <f t="shared" si="1"/>
        <v>-4.3275100274468729E-2</v>
      </c>
      <c r="H27" s="16">
        <f t="shared" si="2"/>
        <v>1.222997334831978E-14</v>
      </c>
      <c r="I27" s="3">
        <v>36378597000000</v>
      </c>
      <c r="J27" s="3">
        <v>36702301000000</v>
      </c>
      <c r="K27" s="3">
        <f t="shared" si="3"/>
        <v>-323704000000</v>
      </c>
      <c r="L27" s="15">
        <f t="shared" si="4"/>
        <v>-3.9588912927445057E-3</v>
      </c>
      <c r="M27" s="3">
        <v>57805992000000</v>
      </c>
      <c r="N27" s="15">
        <f t="shared" si="5"/>
        <v>0.70696574153318636</v>
      </c>
      <c r="O27" s="16">
        <v>0.11600000000000001</v>
      </c>
      <c r="P27" s="16">
        <v>0.25700000000000001</v>
      </c>
      <c r="Q27" s="16">
        <v>-0.25900000000000001</v>
      </c>
      <c r="R27" s="3">
        <f>881936000000+4639402000000+153449000000+209879000000</f>
        <v>5884666000000</v>
      </c>
      <c r="S27" s="3">
        <f>1102146000000+4588733000000+121075000000+237551000000</f>
        <v>6049505000000</v>
      </c>
      <c r="T27" s="3">
        <f t="shared" si="6"/>
        <v>-164839000000</v>
      </c>
      <c r="U27" s="15">
        <f t="shared" si="7"/>
        <v>-1.9429147159808217E-3</v>
      </c>
      <c r="V27" s="16">
        <f t="shared" si="8"/>
        <v>1.4186769084050946E-15</v>
      </c>
      <c r="W27" s="16">
        <f t="shared" si="9"/>
        <v>-4.9932908200707123E-4</v>
      </c>
      <c r="X27" s="16">
        <f t="shared" si="10"/>
        <v>-0.18310412705709528</v>
      </c>
      <c r="Y27" s="15">
        <f t="shared" si="11"/>
        <v>-0.18360345613910092</v>
      </c>
      <c r="Z27" s="47">
        <f t="shared" si="12"/>
        <v>0.14032835586463219</v>
      </c>
    </row>
    <row r="28" spans="1:26" x14ac:dyDescent="0.25">
      <c r="A28" s="1"/>
      <c r="B28" s="12">
        <v>2023</v>
      </c>
      <c r="C28" s="3">
        <v>2295601000000</v>
      </c>
      <c r="D28" s="3">
        <v>5745360000000</v>
      </c>
      <c r="E28" s="3">
        <f t="shared" si="0"/>
        <v>-3449759000000</v>
      </c>
      <c r="F28" s="3">
        <v>82960012000000</v>
      </c>
      <c r="G28" s="15">
        <f t="shared" si="1"/>
        <v>-4.1583395624388286E-2</v>
      </c>
      <c r="H28" s="16">
        <f t="shared" si="2"/>
        <v>1.2054000185053011E-14</v>
      </c>
      <c r="I28" s="3">
        <v>38651360000000</v>
      </c>
      <c r="J28" s="3">
        <v>36378597000000</v>
      </c>
      <c r="K28" s="3">
        <f t="shared" si="3"/>
        <v>2272763000000</v>
      </c>
      <c r="L28" s="15">
        <f t="shared" si="4"/>
        <v>2.7395885622581637E-2</v>
      </c>
      <c r="M28" s="3">
        <v>56771009000000</v>
      </c>
      <c r="N28" s="15">
        <f t="shared" si="5"/>
        <v>0.6843177529916461</v>
      </c>
      <c r="O28" s="16">
        <v>0.11600000000000001</v>
      </c>
      <c r="P28" s="16">
        <v>0.25700000000000001</v>
      </c>
      <c r="Q28" s="16">
        <v>-0.25900000000000001</v>
      </c>
      <c r="R28" s="3">
        <f>767676000000+5020176000000+193793000000+287284000000</f>
        <v>6268929000000</v>
      </c>
      <c r="S28" s="3">
        <f>881936000000+4639402000000+153449000000+209879000000</f>
        <v>5884666000000</v>
      </c>
      <c r="T28" s="3">
        <f t="shared" si="6"/>
        <v>384263000000</v>
      </c>
      <c r="U28" s="15">
        <f t="shared" si="7"/>
        <v>2.2763979349472611E-2</v>
      </c>
      <c r="V28" s="16">
        <f t="shared" si="8"/>
        <v>1.3982640214661493E-15</v>
      </c>
      <c r="W28" s="16">
        <f t="shared" si="9"/>
        <v>5.8503426928144609E-3</v>
      </c>
      <c r="X28" s="16">
        <f t="shared" si="10"/>
        <v>-0.17723829802483634</v>
      </c>
      <c r="Y28" s="15">
        <f t="shared" si="11"/>
        <v>-0.17138795533202048</v>
      </c>
      <c r="Z28" s="47">
        <f t="shared" si="12"/>
        <v>0.12980455970763219</v>
      </c>
    </row>
    <row r="29" spans="1:26" x14ac:dyDescent="0.25">
      <c r="A29" s="1" t="s">
        <v>11</v>
      </c>
      <c r="B29" s="12">
        <v>2021</v>
      </c>
      <c r="C29" s="3">
        <v>294325560054</v>
      </c>
      <c r="D29" s="3">
        <v>791805681957</v>
      </c>
      <c r="E29" s="3">
        <f t="shared" si="0"/>
        <v>-497480121903</v>
      </c>
      <c r="F29" s="3">
        <v>2316065006133</v>
      </c>
      <c r="G29" s="15">
        <f t="shared" si="1"/>
        <v>-0.21479540539046174</v>
      </c>
      <c r="H29" s="16">
        <f t="shared" si="2"/>
        <v>4.3176681023717995E-13</v>
      </c>
      <c r="I29" s="3">
        <v>2794452671851</v>
      </c>
      <c r="J29" s="3">
        <v>2151494981968</v>
      </c>
      <c r="K29" s="3">
        <f t="shared" si="3"/>
        <v>642957689883</v>
      </c>
      <c r="L29" s="15">
        <f t="shared" si="4"/>
        <v>0.27760779087824883</v>
      </c>
      <c r="M29" s="3">
        <v>1711988805498</v>
      </c>
      <c r="N29" s="15">
        <f t="shared" si="5"/>
        <v>0.73917994571163137</v>
      </c>
      <c r="O29" s="16">
        <v>0.11600000000000001</v>
      </c>
      <c r="P29" s="16">
        <v>0.25700000000000001</v>
      </c>
      <c r="Q29" s="16">
        <v>-0.25900000000000001</v>
      </c>
      <c r="R29" s="3">
        <f>4682381683+211808669996</f>
        <v>216491051679</v>
      </c>
      <c r="S29" s="3">
        <f>141687307148+917326109</f>
        <v>142604633257</v>
      </c>
      <c r="T29" s="3">
        <f t="shared" si="6"/>
        <v>73886418422</v>
      </c>
      <c r="U29" s="15">
        <f t="shared" si="7"/>
        <v>0.24570608767633229</v>
      </c>
      <c r="V29" s="16">
        <f t="shared" si="8"/>
        <v>5.0084949987512879E-14</v>
      </c>
      <c r="W29" s="16">
        <f t="shared" si="9"/>
        <v>6.3146464532817401E-2</v>
      </c>
      <c r="X29" s="16">
        <f t="shared" si="10"/>
        <v>-0.19144760593931254</v>
      </c>
      <c r="Y29" s="15">
        <f t="shared" si="11"/>
        <v>-0.12830114140644505</v>
      </c>
      <c r="Z29" s="47">
        <f t="shared" si="12"/>
        <v>-8.6494263984016689E-2</v>
      </c>
    </row>
    <row r="30" spans="1:26" x14ac:dyDescent="0.25">
      <c r="A30" s="1"/>
      <c r="B30" s="12">
        <v>2022</v>
      </c>
      <c r="C30" s="3">
        <v>336138349494</v>
      </c>
      <c r="D30" s="3">
        <v>919207028563</v>
      </c>
      <c r="E30" s="3">
        <f t="shared" si="0"/>
        <v>-583068679069</v>
      </c>
      <c r="F30" s="3">
        <v>2746153295147</v>
      </c>
      <c r="G30" s="15">
        <f t="shared" si="1"/>
        <v>-0.21232197055401042</v>
      </c>
      <c r="H30" s="16">
        <f t="shared" si="2"/>
        <v>3.6414573132796311E-13</v>
      </c>
      <c r="I30" s="3">
        <v>3138054094849</v>
      </c>
      <c r="J30" s="3">
        <v>2794452671851</v>
      </c>
      <c r="K30" s="3">
        <f t="shared" si="3"/>
        <v>343601422998</v>
      </c>
      <c r="L30" s="15">
        <f t="shared" si="4"/>
        <v>0.12512099146293551</v>
      </c>
      <c r="M30" s="3">
        <v>1829176330361</v>
      </c>
      <c r="N30" s="15">
        <f t="shared" si="5"/>
        <v>0.66608675254710614</v>
      </c>
      <c r="O30" s="16">
        <v>0.11600000000000001</v>
      </c>
      <c r="P30" s="16">
        <v>0.25700000000000001</v>
      </c>
      <c r="Q30" s="16">
        <v>-0.25900000000000001</v>
      </c>
      <c r="R30" s="3">
        <f>1353749096+210851214207</f>
        <v>212204963303</v>
      </c>
      <c r="S30" s="3">
        <f>4682381683+211808669996</f>
        <v>216491051679</v>
      </c>
      <c r="T30" s="3">
        <f t="shared" si="6"/>
        <v>-4286088376</v>
      </c>
      <c r="U30" s="15">
        <f t="shared" si="7"/>
        <v>0.12668175224915032</v>
      </c>
      <c r="V30" s="16">
        <f t="shared" si="8"/>
        <v>4.2240904834043721E-14</v>
      </c>
      <c r="W30" s="16">
        <f t="shared" si="9"/>
        <v>3.2557210328031633E-2</v>
      </c>
      <c r="X30" s="16">
        <f t="shared" si="10"/>
        <v>-0.17251646890970049</v>
      </c>
      <c r="Y30" s="15">
        <f t="shared" si="11"/>
        <v>-0.13995925858162661</v>
      </c>
      <c r="Z30" s="47">
        <f t="shared" si="12"/>
        <v>-7.2362711972383809E-2</v>
      </c>
    </row>
    <row r="31" spans="1:26" x14ac:dyDescent="0.25">
      <c r="A31" s="1"/>
      <c r="B31" s="12">
        <v>2023</v>
      </c>
      <c r="C31" s="3">
        <v>178658341906</v>
      </c>
      <c r="D31" s="3">
        <v>686668155424</v>
      </c>
      <c r="E31" s="3">
        <f t="shared" si="0"/>
        <v>-508009813518</v>
      </c>
      <c r="F31" s="3">
        <v>3239231499990</v>
      </c>
      <c r="G31" s="15">
        <f t="shared" si="1"/>
        <v>-0.15683035112481719</v>
      </c>
      <c r="H31" s="16">
        <f t="shared" si="2"/>
        <v>3.0871519988709886E-13</v>
      </c>
      <c r="I31" s="3">
        <v>2658520983180</v>
      </c>
      <c r="J31" s="3">
        <v>3138054094849</v>
      </c>
      <c r="K31" s="3">
        <f t="shared" si="3"/>
        <v>-479533111669</v>
      </c>
      <c r="L31" s="15">
        <f t="shared" si="4"/>
        <v>-0.14803916042137785</v>
      </c>
      <c r="M31" s="3">
        <v>1874980658152</v>
      </c>
      <c r="N31" s="15">
        <f t="shared" si="5"/>
        <v>0.57883502866583891</v>
      </c>
      <c r="O31" s="16">
        <v>0.11600000000000001</v>
      </c>
      <c r="P31" s="16">
        <v>0.25700000000000001</v>
      </c>
      <c r="Q31" s="16">
        <v>-0.25900000000000001</v>
      </c>
      <c r="R31" s="3">
        <f>212774393809+2750032541</f>
        <v>215524426350</v>
      </c>
      <c r="S31" s="3">
        <f>1353749096+210851214207</f>
        <v>212204963303</v>
      </c>
      <c r="T31" s="3">
        <f t="shared" si="6"/>
        <v>3319463047</v>
      </c>
      <c r="U31" s="15">
        <f t="shared" si="7"/>
        <v>-0.14906392911945029</v>
      </c>
      <c r="V31" s="16">
        <f t="shared" si="8"/>
        <v>3.5810963186903468E-14</v>
      </c>
      <c r="W31" s="16">
        <f t="shared" si="9"/>
        <v>-3.830942978369873E-2</v>
      </c>
      <c r="X31" s="16">
        <f t="shared" si="10"/>
        <v>-0.14991827242445227</v>
      </c>
      <c r="Y31" s="15">
        <f t="shared" si="11"/>
        <v>-0.18822770220811519</v>
      </c>
      <c r="Z31" s="47">
        <f t="shared" si="12"/>
        <v>3.1397351083297997E-2</v>
      </c>
    </row>
    <row r="32" spans="1:26" x14ac:dyDescent="0.25">
      <c r="A32" s="1" t="s">
        <v>12</v>
      </c>
      <c r="B32" s="12">
        <v>2021</v>
      </c>
      <c r="C32" s="3">
        <v>81433957569</v>
      </c>
      <c r="D32" s="3">
        <v>35025515989</v>
      </c>
      <c r="E32" s="3">
        <f t="shared" si="0"/>
        <v>46408441580</v>
      </c>
      <c r="F32" s="3">
        <v>8509017299594</v>
      </c>
      <c r="G32" s="15">
        <f t="shared" si="1"/>
        <v>5.4540307001390556E-3</v>
      </c>
      <c r="H32" s="16">
        <f t="shared" si="2"/>
        <v>1.1752238417093289E-13</v>
      </c>
      <c r="I32" s="3">
        <v>4458987837356</v>
      </c>
      <c r="J32" s="3">
        <v>4803359291718</v>
      </c>
      <c r="K32" s="3">
        <f t="shared" si="3"/>
        <v>-344371454362</v>
      </c>
      <c r="L32" s="15">
        <f t="shared" si="4"/>
        <v>-4.0471354357033848E-2</v>
      </c>
      <c r="M32" s="3">
        <v>3183936637664</v>
      </c>
      <c r="N32" s="15">
        <f t="shared" si="5"/>
        <v>0.37418382470745692</v>
      </c>
      <c r="O32" s="16">
        <v>0.11600000000000001</v>
      </c>
      <c r="P32" s="16">
        <v>0.25700000000000001</v>
      </c>
      <c r="Q32" s="16">
        <v>-0.25900000000000001</v>
      </c>
      <c r="R32" s="3">
        <f>390684466545+424158422749+28448684113</f>
        <v>843291573407</v>
      </c>
      <c r="S32" s="3">
        <f>413057690355+219680373484+18740129445</f>
        <v>651478193284</v>
      </c>
      <c r="T32" s="3">
        <f t="shared" si="6"/>
        <v>191813380123</v>
      </c>
      <c r="U32" s="15">
        <f t="shared" si="7"/>
        <v>-6.3013720104974233E-2</v>
      </c>
      <c r="V32" s="16">
        <f t="shared" si="8"/>
        <v>1.3632596563828216E-14</v>
      </c>
      <c r="W32" s="16">
        <f t="shared" si="9"/>
        <v>-1.6194526066978378E-2</v>
      </c>
      <c r="X32" s="16">
        <f t="shared" si="10"/>
        <v>-9.6913610599231342E-2</v>
      </c>
      <c r="Y32" s="15">
        <f t="shared" si="11"/>
        <v>-0.1131081366661961</v>
      </c>
      <c r="Z32" s="47">
        <f t="shared" si="12"/>
        <v>0.11856216736633515</v>
      </c>
    </row>
    <row r="33" spans="1:26" x14ac:dyDescent="0.25">
      <c r="A33" s="1"/>
      <c r="B33" s="12">
        <v>2022</v>
      </c>
      <c r="C33" s="3">
        <v>171060047099</v>
      </c>
      <c r="D33" s="3">
        <v>25538790864</v>
      </c>
      <c r="E33" s="3">
        <f t="shared" si="0"/>
        <v>145521256235</v>
      </c>
      <c r="F33" s="3">
        <v>9082511044439</v>
      </c>
      <c r="G33" s="15">
        <f t="shared" si="1"/>
        <v>1.6022139199500244E-2</v>
      </c>
      <c r="H33" s="16">
        <f t="shared" si="2"/>
        <v>1.1010171032076814E-13</v>
      </c>
      <c r="I33" s="3">
        <v>6003788032167</v>
      </c>
      <c r="J33" s="3">
        <v>4458987837356</v>
      </c>
      <c r="K33" s="3">
        <f t="shared" si="3"/>
        <v>1544800194811</v>
      </c>
      <c r="L33" s="15">
        <f t="shared" si="4"/>
        <v>0.17008514355254689</v>
      </c>
      <c r="M33" s="3">
        <v>3045751191074</v>
      </c>
      <c r="N33" s="15">
        <f t="shared" si="5"/>
        <v>0.33534241534876408</v>
      </c>
      <c r="O33" s="16">
        <v>0.11600000000000001</v>
      </c>
      <c r="P33" s="16">
        <v>0.25700000000000001</v>
      </c>
      <c r="Q33" s="16">
        <v>-0.25900000000000001</v>
      </c>
      <c r="R33" s="3">
        <f>20217692953+310954892366+487561266566</f>
        <v>818733851885</v>
      </c>
      <c r="S33" s="3">
        <f>390684466545+424158422749+28448684113</f>
        <v>843291573407</v>
      </c>
      <c r="T33" s="3">
        <f t="shared" si="6"/>
        <v>-24557721522</v>
      </c>
      <c r="U33" s="15">
        <f t="shared" si="7"/>
        <v>0.17278899069370024</v>
      </c>
      <c r="V33" s="16">
        <f t="shared" si="8"/>
        <v>1.2771798397209105E-14</v>
      </c>
      <c r="W33" s="16">
        <f t="shared" si="9"/>
        <v>4.4406770608280965E-2</v>
      </c>
      <c r="X33" s="16">
        <f t="shared" si="10"/>
        <v>-8.6853685575329895E-2</v>
      </c>
      <c r="Y33" s="15">
        <f t="shared" si="11"/>
        <v>-4.2446914967036155E-2</v>
      </c>
      <c r="Z33" s="47">
        <f t="shared" si="12"/>
        <v>5.8469054166536402E-2</v>
      </c>
    </row>
    <row r="34" spans="1:26" x14ac:dyDescent="0.25">
      <c r="A34" s="1"/>
      <c r="B34" s="12">
        <v>2023</v>
      </c>
      <c r="C34" s="3">
        <v>19816764969</v>
      </c>
      <c r="D34" s="3">
        <v>95468547670</v>
      </c>
      <c r="E34" s="3">
        <f t="shared" si="0"/>
        <v>-75651782701</v>
      </c>
      <c r="F34" s="3">
        <v>9447528704261</v>
      </c>
      <c r="G34" s="15">
        <f t="shared" si="1"/>
        <v>-8.0075737337405202E-3</v>
      </c>
      <c r="H34" s="16">
        <f t="shared" si="2"/>
        <v>1.058477863686175E-13</v>
      </c>
      <c r="I34" s="3">
        <v>4203170642940</v>
      </c>
      <c r="J34" s="3">
        <v>6003788032167</v>
      </c>
      <c r="K34" s="3">
        <f t="shared" si="3"/>
        <v>-1800617389227</v>
      </c>
      <c r="L34" s="15">
        <f t="shared" si="4"/>
        <v>-0.19059136474651728</v>
      </c>
      <c r="M34" s="3">
        <v>3003465305734</v>
      </c>
      <c r="N34" s="15">
        <f t="shared" si="5"/>
        <v>0.31791015404688688</v>
      </c>
      <c r="O34" s="16">
        <v>0.11600000000000001</v>
      </c>
      <c r="P34" s="16">
        <v>0.25700000000000001</v>
      </c>
      <c r="Q34" s="16">
        <v>-0.25900000000000001</v>
      </c>
      <c r="R34" s="3">
        <f>533726022022+424250739481+18861836892</f>
        <v>976838598395</v>
      </c>
      <c r="S34" s="3">
        <f>20217692953+310954892366+487561266566</f>
        <v>818733851885</v>
      </c>
      <c r="T34" s="3">
        <f t="shared" si="6"/>
        <v>158104746510</v>
      </c>
      <c r="U34" s="15">
        <f t="shared" si="7"/>
        <v>-0.20732640217897219</v>
      </c>
      <c r="V34" s="16">
        <f t="shared" si="8"/>
        <v>1.2278343218759631E-14</v>
      </c>
      <c r="W34" s="16">
        <f t="shared" si="9"/>
        <v>-5.3282885359995855E-2</v>
      </c>
      <c r="X34" s="16">
        <f t="shared" si="10"/>
        <v>-8.2338729898143712E-2</v>
      </c>
      <c r="Y34" s="15">
        <f t="shared" si="11"/>
        <v>-0.1356216152581273</v>
      </c>
      <c r="Z34" s="47">
        <f t="shared" si="12"/>
        <v>0.12761404152438677</v>
      </c>
    </row>
    <row r="35" spans="1:26" x14ac:dyDescent="0.25">
      <c r="A35" s="1" t="s">
        <v>13</v>
      </c>
      <c r="B35" s="12">
        <v>2021</v>
      </c>
      <c r="C35" s="3">
        <v>416209347000</v>
      </c>
      <c r="D35" s="3">
        <v>142033597000</v>
      </c>
      <c r="E35" s="3">
        <f t="shared" si="0"/>
        <v>274175750000</v>
      </c>
      <c r="F35" s="3">
        <v>2421301079000</v>
      </c>
      <c r="G35" s="15">
        <f t="shared" si="1"/>
        <v>0.11323488531762224</v>
      </c>
      <c r="H35" s="16">
        <f t="shared" si="2"/>
        <v>4.1300109625895889E-13</v>
      </c>
      <c r="I35" s="3">
        <v>4441512773000</v>
      </c>
      <c r="J35" s="3">
        <v>3870552460000</v>
      </c>
      <c r="K35" s="3">
        <f t="shared" si="3"/>
        <v>570960313000</v>
      </c>
      <c r="L35" s="15">
        <f t="shared" si="4"/>
        <v>0.23580723518935828</v>
      </c>
      <c r="M35" s="3">
        <v>1017327697000</v>
      </c>
      <c r="N35" s="15">
        <f t="shared" si="5"/>
        <v>0.42015745411560196</v>
      </c>
      <c r="O35" s="16">
        <v>0.11600000000000001</v>
      </c>
      <c r="P35" s="16">
        <v>0.25700000000000001</v>
      </c>
      <c r="Q35" s="16">
        <v>-0.25900000000000001</v>
      </c>
      <c r="R35" s="3">
        <f>285649542000+38937027000+4953709000+611828000</f>
        <v>330152106000</v>
      </c>
      <c r="S35" s="3">
        <f>234035914000+30891078000+4986510000+2751589000</f>
        <v>272665091000</v>
      </c>
      <c r="T35" s="3">
        <f t="shared" si="6"/>
        <v>57487015000</v>
      </c>
      <c r="U35" s="15">
        <f t="shared" si="7"/>
        <v>0.21206503497370308</v>
      </c>
      <c r="V35" s="16">
        <f t="shared" si="8"/>
        <v>4.7908127166039233E-14</v>
      </c>
      <c r="W35" s="16">
        <f t="shared" si="9"/>
        <v>5.4500713988241689E-2</v>
      </c>
      <c r="X35" s="16">
        <f t="shared" si="10"/>
        <v>-0.10882078061594092</v>
      </c>
      <c r="Y35" s="15">
        <f t="shared" si="11"/>
        <v>-5.432006662765132E-2</v>
      </c>
      <c r="Z35" s="47">
        <f t="shared" si="12"/>
        <v>0.16755495194527356</v>
      </c>
    </row>
    <row r="36" spans="1:26" x14ac:dyDescent="0.25">
      <c r="A36" s="1"/>
      <c r="B36" s="12">
        <v>2022</v>
      </c>
      <c r="C36" s="3">
        <v>354901190000</v>
      </c>
      <c r="D36" s="3">
        <v>209776561000</v>
      </c>
      <c r="E36" s="3">
        <f t="shared" si="0"/>
        <v>145124629000</v>
      </c>
      <c r="F36" s="3">
        <v>2795959663000</v>
      </c>
      <c r="G36" s="15">
        <f t="shared" si="1"/>
        <v>5.1905122566855859E-2</v>
      </c>
      <c r="H36" s="16">
        <f t="shared" si="2"/>
        <v>3.5765895096176858E-13</v>
      </c>
      <c r="I36" s="3">
        <v>5030424255000</v>
      </c>
      <c r="J36" s="3">
        <v>4441512773000</v>
      </c>
      <c r="K36" s="3">
        <f t="shared" si="3"/>
        <v>588911482000</v>
      </c>
      <c r="L36" s="15">
        <f t="shared" si="4"/>
        <v>0.21062946286146045</v>
      </c>
      <c r="M36" s="3">
        <v>1061752620000</v>
      </c>
      <c r="N36" s="15">
        <f t="shared" si="5"/>
        <v>0.37974532825010932</v>
      </c>
      <c r="O36" s="16">
        <v>0.11600000000000001</v>
      </c>
      <c r="P36" s="16">
        <v>0.25700000000000001</v>
      </c>
      <c r="Q36" s="16">
        <v>-0.25900000000000001</v>
      </c>
      <c r="R36" s="3">
        <f>309536353000+29473876000+3893139000+162090000</f>
        <v>343065458000</v>
      </c>
      <c r="S36" s="3">
        <f>285649542000+38937027000+4953709000+611828000</f>
        <v>330152106000</v>
      </c>
      <c r="T36" s="3">
        <f t="shared" si="6"/>
        <v>12913352000</v>
      </c>
      <c r="U36" s="15">
        <f t="shared" si="7"/>
        <v>0.20601088693174041</v>
      </c>
      <c r="V36" s="16">
        <f t="shared" si="8"/>
        <v>4.1488438311565157E-14</v>
      </c>
      <c r="W36" s="16">
        <f t="shared" si="9"/>
        <v>5.2944797941457289E-2</v>
      </c>
      <c r="X36" s="16">
        <f t="shared" si="10"/>
        <v>-9.8354040016778319E-2</v>
      </c>
      <c r="Y36" s="15">
        <f t="shared" si="11"/>
        <v>-4.5409242075279542E-2</v>
      </c>
      <c r="Z36" s="47">
        <f t="shared" si="12"/>
        <v>9.7314364642135401E-2</v>
      </c>
    </row>
    <row r="37" spans="1:26" x14ac:dyDescent="0.25">
      <c r="A37" s="1"/>
      <c r="B37" s="12">
        <v>2023</v>
      </c>
      <c r="C37" s="3">
        <v>375985161000</v>
      </c>
      <c r="D37" s="3">
        <v>508727345000</v>
      </c>
      <c r="E37" s="3">
        <f t="shared" si="0"/>
        <v>-132742184000</v>
      </c>
      <c r="F37" s="3">
        <v>3040363137000</v>
      </c>
      <c r="G37" s="15">
        <f t="shared" si="1"/>
        <v>-4.3659976791778868E-2</v>
      </c>
      <c r="H37" s="16">
        <f t="shared" si="2"/>
        <v>3.2890807937722999E-13</v>
      </c>
      <c r="I37" s="3">
        <v>4703224343000</v>
      </c>
      <c r="J37" s="3">
        <v>5030424255000</v>
      </c>
      <c r="K37" s="3">
        <f t="shared" si="3"/>
        <v>-327199912000</v>
      </c>
      <c r="L37" s="15">
        <f t="shared" si="4"/>
        <v>-0.10761869462831868</v>
      </c>
      <c r="M37" s="3">
        <v>1093886622000</v>
      </c>
      <c r="N37" s="15">
        <f t="shared" si="5"/>
        <v>0.35978814789846597</v>
      </c>
      <c r="O37" s="16">
        <v>0.11600000000000001</v>
      </c>
      <c r="P37" s="16">
        <v>0.25700000000000001</v>
      </c>
      <c r="Q37" s="16">
        <v>-0.25900000000000001</v>
      </c>
      <c r="R37" s="3">
        <f>335700935000+24752981000+5280044+422730000</f>
        <v>360881926044</v>
      </c>
      <c r="S37" s="3">
        <f>309536353000+29473876000+3893139000+162090000</f>
        <v>343065458000</v>
      </c>
      <c r="T37" s="3">
        <f t="shared" si="6"/>
        <v>17816468044</v>
      </c>
      <c r="U37" s="15">
        <f t="shared" si="7"/>
        <v>-0.11347867491395651</v>
      </c>
      <c r="V37" s="16">
        <f t="shared" si="8"/>
        <v>3.8153337207758679E-14</v>
      </c>
      <c r="W37" s="16">
        <f t="shared" si="9"/>
        <v>-2.9164019452886825E-2</v>
      </c>
      <c r="X37" s="16">
        <f t="shared" si="10"/>
        <v>-9.318513030570269E-2</v>
      </c>
      <c r="Y37" s="15">
        <f t="shared" si="11"/>
        <v>-0.12234914975855136</v>
      </c>
      <c r="Z37" s="47">
        <f t="shared" si="12"/>
        <v>7.8689172966772497E-2</v>
      </c>
    </row>
    <row r="38" spans="1:26" x14ac:dyDescent="0.25">
      <c r="A38" s="1" t="s">
        <v>14</v>
      </c>
      <c r="B38" s="12">
        <v>2021</v>
      </c>
      <c r="C38" s="3">
        <v>159076942627</v>
      </c>
      <c r="D38" s="3">
        <v>120613302478</v>
      </c>
      <c r="E38" s="3">
        <f t="shared" si="0"/>
        <v>38463640149</v>
      </c>
      <c r="F38" s="3">
        <v>1134528730678</v>
      </c>
      <c r="G38" s="15">
        <f t="shared" si="1"/>
        <v>3.3902746672632905E-2</v>
      </c>
      <c r="H38" s="16">
        <f t="shared" si="2"/>
        <v>8.8142324910749065E-13</v>
      </c>
      <c r="I38" s="3">
        <v>906259459175</v>
      </c>
      <c r="J38" s="3">
        <v>396573481850</v>
      </c>
      <c r="K38" s="3">
        <f t="shared" si="3"/>
        <v>509685977325</v>
      </c>
      <c r="L38" s="15">
        <f t="shared" si="4"/>
        <v>0.44924907015832832</v>
      </c>
      <c r="M38" s="3">
        <v>361279611835</v>
      </c>
      <c r="N38" s="15">
        <f t="shared" si="5"/>
        <v>0.31844024929989873</v>
      </c>
      <c r="O38" s="16">
        <v>0.11600000000000001</v>
      </c>
      <c r="P38" s="16">
        <v>0.25700000000000001</v>
      </c>
      <c r="Q38" s="16">
        <v>-0.25900000000000001</v>
      </c>
      <c r="R38" s="3">
        <f>58039682935+2192974067+6673750060</f>
        <v>66906407062</v>
      </c>
      <c r="S38" s="3">
        <f>75394746485+1413139300</f>
        <v>76807885785</v>
      </c>
      <c r="T38" s="3">
        <f t="shared" si="6"/>
        <v>-9901478723</v>
      </c>
      <c r="U38" s="15">
        <f t="shared" si="7"/>
        <v>0.45797646370532369</v>
      </c>
      <c r="V38" s="16">
        <f t="shared" si="8"/>
        <v>1.0224509689646892E-13</v>
      </c>
      <c r="W38" s="16">
        <f t="shared" si="9"/>
        <v>0.1176999511722682</v>
      </c>
      <c r="X38" s="16">
        <f t="shared" si="10"/>
        <v>-8.247602456867377E-2</v>
      </c>
      <c r="Y38" s="15">
        <f t="shared" si="11"/>
        <v>3.5223926603696679E-2</v>
      </c>
      <c r="Z38" s="47">
        <f t="shared" si="12"/>
        <v>-1.3211799310637734E-3</v>
      </c>
    </row>
    <row r="39" spans="1:26" x14ac:dyDescent="0.25">
      <c r="A39" s="1"/>
      <c r="B39" s="12">
        <v>2022</v>
      </c>
      <c r="C39" s="3">
        <v>197694385018</v>
      </c>
      <c r="D39" s="3">
        <v>156359698181</v>
      </c>
      <c r="E39" s="3">
        <f t="shared" si="0"/>
        <v>41334686837</v>
      </c>
      <c r="F39" s="3">
        <v>1008502142233</v>
      </c>
      <c r="G39" s="15">
        <f t="shared" si="1"/>
        <v>4.0986216197298087E-2</v>
      </c>
      <c r="H39" s="16">
        <f t="shared" si="2"/>
        <v>9.9156953478137915E-13</v>
      </c>
      <c r="I39" s="3">
        <v>939031325558</v>
      </c>
      <c r="J39" s="3">
        <v>906259459175</v>
      </c>
      <c r="K39" s="3">
        <f t="shared" si="3"/>
        <v>32771866383</v>
      </c>
      <c r="L39" s="15">
        <f t="shared" si="4"/>
        <v>3.2495584303308823E-2</v>
      </c>
      <c r="M39" s="3">
        <v>372018456839</v>
      </c>
      <c r="N39" s="15">
        <f t="shared" si="5"/>
        <v>0.36888216817793379</v>
      </c>
      <c r="O39" s="16">
        <v>0.11600000000000001</v>
      </c>
      <c r="P39" s="16">
        <v>0.25700000000000001</v>
      </c>
      <c r="Q39" s="16">
        <v>-0.25900000000000001</v>
      </c>
      <c r="R39" s="3">
        <f>71355940179+3992893466+10264380372</f>
        <v>85613214017</v>
      </c>
      <c r="S39" s="3">
        <f>58039682935+2192974067+6673750060</f>
        <v>66906407062</v>
      </c>
      <c r="T39" s="3">
        <f t="shared" si="6"/>
        <v>18706806955</v>
      </c>
      <c r="U39" s="15">
        <f t="shared" si="7"/>
        <v>1.3946484433694409E-2</v>
      </c>
      <c r="V39" s="16">
        <f t="shared" si="8"/>
        <v>1.1502206603464E-13</v>
      </c>
      <c r="W39" s="16">
        <f t="shared" si="9"/>
        <v>3.5842464994594631E-3</v>
      </c>
      <c r="X39" s="16">
        <f t="shared" si="10"/>
        <v>-9.5540481558084853E-2</v>
      </c>
      <c r="Y39" s="15">
        <f t="shared" si="11"/>
        <v>-9.1956235058510361E-2</v>
      </c>
      <c r="Z39" s="47">
        <f t="shared" si="12"/>
        <v>0.13294245125580845</v>
      </c>
    </row>
    <row r="40" spans="1:26" x14ac:dyDescent="0.25">
      <c r="A40" s="1"/>
      <c r="B40" s="12">
        <v>2023</v>
      </c>
      <c r="C40" s="3">
        <v>220358607610</v>
      </c>
      <c r="D40" s="3">
        <v>295069915490</v>
      </c>
      <c r="E40" s="3">
        <f t="shared" si="0"/>
        <v>-74711307880</v>
      </c>
      <c r="F40" s="3">
        <v>1091201798908</v>
      </c>
      <c r="G40" s="15">
        <f t="shared" si="1"/>
        <v>-6.8466994789383562E-2</v>
      </c>
      <c r="H40" s="16">
        <f t="shared" si="2"/>
        <v>9.164207766159582E-13</v>
      </c>
      <c r="I40" s="3">
        <v>1433217403117</v>
      </c>
      <c r="J40" s="3">
        <v>939031325558</v>
      </c>
      <c r="K40" s="3">
        <f t="shared" si="3"/>
        <v>494186077559</v>
      </c>
      <c r="L40" s="15">
        <f t="shared" si="4"/>
        <v>0.45288238898941291</v>
      </c>
      <c r="M40" s="3">
        <v>364406193214</v>
      </c>
      <c r="N40" s="15">
        <f t="shared" si="5"/>
        <v>0.33394940658883882</v>
      </c>
      <c r="O40" s="16">
        <v>0.11600000000000001</v>
      </c>
      <c r="P40" s="16">
        <v>0.25700000000000001</v>
      </c>
      <c r="Q40" s="16">
        <v>-0.25900000000000001</v>
      </c>
      <c r="R40" s="3">
        <f>197247270558+48594028414+3964575602+6233790733</f>
        <v>256039665307</v>
      </c>
      <c r="S40" s="3">
        <f>71355940179+3992893466+10264380372</f>
        <v>85613214017</v>
      </c>
      <c r="T40" s="3">
        <f t="shared" si="6"/>
        <v>170426451290</v>
      </c>
      <c r="U40" s="15">
        <f t="shared" si="7"/>
        <v>0.29670004814232936</v>
      </c>
      <c r="V40" s="16">
        <f t="shared" si="8"/>
        <v>1.0630481008745115E-13</v>
      </c>
      <c r="W40" s="16">
        <f t="shared" si="9"/>
        <v>7.6251912372578654E-2</v>
      </c>
      <c r="X40" s="16">
        <f t="shared" si="10"/>
        <v>-8.6492896306509262E-2</v>
      </c>
      <c r="Y40" s="15">
        <f t="shared" si="11"/>
        <v>-1.0240983933824305E-2</v>
      </c>
      <c r="Z40" s="47">
        <f t="shared" si="12"/>
        <v>-5.8226010855559257E-2</v>
      </c>
    </row>
    <row r="41" spans="1:26" x14ac:dyDescent="0.25">
      <c r="A41" s="1" t="s">
        <v>15</v>
      </c>
      <c r="B41" s="12">
        <v>2021</v>
      </c>
      <c r="C41" s="3">
        <v>171146039488</v>
      </c>
      <c r="D41" s="3">
        <v>-33523347183</v>
      </c>
      <c r="E41" s="3">
        <f t="shared" si="0"/>
        <v>204669386671</v>
      </c>
      <c r="F41" s="3">
        <v>1342071492913</v>
      </c>
      <c r="G41" s="15">
        <f t="shared" si="1"/>
        <v>0.1525025959882062</v>
      </c>
      <c r="H41" s="16">
        <f t="shared" si="2"/>
        <v>7.451167879510463E-13</v>
      </c>
      <c r="I41" s="3">
        <v>1852362345299</v>
      </c>
      <c r="J41" s="3">
        <v>1409226181520</v>
      </c>
      <c r="K41" s="3">
        <f t="shared" si="3"/>
        <v>443136163779</v>
      </c>
      <c r="L41" s="15">
        <f t="shared" si="4"/>
        <v>0.33018819497995727</v>
      </c>
      <c r="M41" s="3">
        <v>309524775723</v>
      </c>
      <c r="N41" s="15">
        <f t="shared" si="5"/>
        <v>0.23063210667798975</v>
      </c>
      <c r="O41" s="16">
        <v>0.11600000000000001</v>
      </c>
      <c r="P41" s="16">
        <v>0.25700000000000001</v>
      </c>
      <c r="Q41" s="16">
        <v>-0.25900000000000001</v>
      </c>
      <c r="R41" s="3">
        <f>478661170493+24912546962</f>
        <v>503573717455</v>
      </c>
      <c r="S41" s="3">
        <f>544454107410+22322574250+403801389</f>
        <v>567180483049</v>
      </c>
      <c r="T41" s="3">
        <f t="shared" si="6"/>
        <v>-63606765594</v>
      </c>
      <c r="U41" s="15">
        <f t="shared" si="7"/>
        <v>0.37758266385131367</v>
      </c>
      <c r="V41" s="16">
        <f t="shared" si="8"/>
        <v>8.6433547402321374E-14</v>
      </c>
      <c r="W41" s="16">
        <f t="shared" si="9"/>
        <v>9.7038744609787619E-2</v>
      </c>
      <c r="X41" s="16">
        <f t="shared" si="10"/>
        <v>-5.9733715629599345E-2</v>
      </c>
      <c r="Y41" s="15">
        <f t="shared" si="11"/>
        <v>3.7305028980274706E-2</v>
      </c>
      <c r="Z41" s="47">
        <f t="shared" si="12"/>
        <v>0.11519756700793149</v>
      </c>
    </row>
    <row r="42" spans="1:26" x14ac:dyDescent="0.25">
      <c r="A42" s="1"/>
      <c r="B42" s="12">
        <v>2022</v>
      </c>
      <c r="C42" s="3">
        <v>345992311458</v>
      </c>
      <c r="D42" s="3">
        <v>93102084321</v>
      </c>
      <c r="E42" s="3">
        <f t="shared" si="0"/>
        <v>252890227137</v>
      </c>
      <c r="F42" s="3">
        <v>1763123879245</v>
      </c>
      <c r="G42" s="15">
        <f t="shared" si="1"/>
        <v>0.14343304524086642</v>
      </c>
      <c r="H42" s="16">
        <f t="shared" si="2"/>
        <v>5.6717512125592511E-13</v>
      </c>
      <c r="I42" s="3">
        <v>3689403867254</v>
      </c>
      <c r="J42" s="3">
        <v>1852362345299</v>
      </c>
      <c r="K42" s="3">
        <f t="shared" si="3"/>
        <v>1837041521955</v>
      </c>
      <c r="L42" s="15">
        <f t="shared" si="4"/>
        <v>1.0419242479669963</v>
      </c>
      <c r="M42" s="3">
        <v>378737389609</v>
      </c>
      <c r="N42" s="15">
        <f t="shared" si="5"/>
        <v>0.21481042487563715</v>
      </c>
      <c r="O42" s="16">
        <v>0.11600000000000001</v>
      </c>
      <c r="P42" s="16">
        <v>0.25700000000000001</v>
      </c>
      <c r="Q42" s="16">
        <v>-0.25900000000000001</v>
      </c>
      <c r="R42" s="3">
        <f>562435652854+38564446417</f>
        <v>601000099271</v>
      </c>
      <c r="S42" s="3">
        <f>478661170493+24912546962</f>
        <v>503573717455</v>
      </c>
      <c r="T42" s="3">
        <f t="shared" si="6"/>
        <v>97426381816</v>
      </c>
      <c r="U42" s="15">
        <f t="shared" si="7"/>
        <v>0.98666642804698057</v>
      </c>
      <c r="V42" s="16">
        <f t="shared" si="8"/>
        <v>6.5792314065687314E-14</v>
      </c>
      <c r="W42" s="16">
        <f t="shared" si="9"/>
        <v>0.253573272008074</v>
      </c>
      <c r="X42" s="16">
        <f t="shared" si="10"/>
        <v>-5.5635900042790024E-2</v>
      </c>
      <c r="Y42" s="15">
        <f t="shared" si="11"/>
        <v>0.19793737196534977</v>
      </c>
      <c r="Z42" s="47">
        <f t="shared" si="12"/>
        <v>-5.4504326724483354E-2</v>
      </c>
    </row>
    <row r="43" spans="1:26" x14ac:dyDescent="0.25">
      <c r="A43" s="1"/>
      <c r="B43" s="12">
        <v>2023</v>
      </c>
      <c r="C43" s="3">
        <v>420077400658</v>
      </c>
      <c r="D43" s="3">
        <v>77381363245</v>
      </c>
      <c r="E43" s="3">
        <f t="shared" si="0"/>
        <v>342696037413</v>
      </c>
      <c r="F43" s="3">
        <v>3097781579099</v>
      </c>
      <c r="G43" s="15">
        <f t="shared" si="1"/>
        <v>0.11062627517872783</v>
      </c>
      <c r="H43" s="16">
        <f t="shared" si="2"/>
        <v>3.2281165552377431E-13</v>
      </c>
      <c r="I43" s="3">
        <v>4463507984781</v>
      </c>
      <c r="J43" s="3">
        <v>3689403867254</v>
      </c>
      <c r="K43" s="3">
        <f t="shared" si="3"/>
        <v>774104117527</v>
      </c>
      <c r="L43" s="15">
        <f t="shared" si="4"/>
        <v>0.24988983172666124</v>
      </c>
      <c r="M43" s="3">
        <v>391553802563</v>
      </c>
      <c r="N43" s="15">
        <f t="shared" si="5"/>
        <v>0.12639813123199109</v>
      </c>
      <c r="O43" s="16">
        <v>0.11600000000000001</v>
      </c>
      <c r="P43" s="16">
        <v>0.25700000000000001</v>
      </c>
      <c r="Q43" s="16">
        <v>-0.25900000000000001</v>
      </c>
      <c r="R43" s="3">
        <f>778061199839+29382866542</f>
        <v>807444066381</v>
      </c>
      <c r="S43" s="3">
        <f>562435652854+38564446417</f>
        <v>601000099271</v>
      </c>
      <c r="T43" s="3">
        <f t="shared" si="6"/>
        <v>206443967110</v>
      </c>
      <c r="U43" s="15">
        <f t="shared" si="7"/>
        <v>0.18324731293098651</v>
      </c>
      <c r="V43" s="16">
        <f t="shared" si="8"/>
        <v>3.7446152040757823E-14</v>
      </c>
      <c r="W43" s="16">
        <f t="shared" si="9"/>
        <v>4.7094559423263536E-2</v>
      </c>
      <c r="X43" s="16">
        <f t="shared" si="10"/>
        <v>-3.2737115989085692E-2</v>
      </c>
      <c r="Y43" s="15">
        <f t="shared" si="11"/>
        <v>1.4357443434215293E-2</v>
      </c>
      <c r="Z43" s="47">
        <f t="shared" si="12"/>
        <v>9.6268831744512534E-2</v>
      </c>
    </row>
    <row r="44" spans="1:26" x14ac:dyDescent="0.25">
      <c r="A44" s="1" t="s">
        <v>16</v>
      </c>
      <c r="B44" s="12">
        <v>2021</v>
      </c>
      <c r="C44" s="3">
        <v>110071266039</v>
      </c>
      <c r="D44" s="3">
        <v>70947793503</v>
      </c>
      <c r="E44" s="3">
        <f t="shared" si="0"/>
        <v>39123472536</v>
      </c>
      <c r="F44" s="3">
        <v>406998941725</v>
      </c>
      <c r="G44" s="15">
        <f t="shared" si="1"/>
        <v>9.6126718094600966E-2</v>
      </c>
      <c r="H44" s="16">
        <f t="shared" si="2"/>
        <v>2.4570088456782216E-12</v>
      </c>
      <c r="I44" s="3">
        <v>459401131769</v>
      </c>
      <c r="J44" s="3">
        <v>110697288392</v>
      </c>
      <c r="K44" s="3">
        <f t="shared" si="3"/>
        <v>348703843377</v>
      </c>
      <c r="L44" s="15">
        <f t="shared" si="4"/>
        <v>0.85676842769928208</v>
      </c>
      <c r="M44" s="3">
        <v>205564148053</v>
      </c>
      <c r="N44" s="15">
        <f t="shared" si="5"/>
        <v>0.50507293012052856</v>
      </c>
      <c r="O44" s="16">
        <v>0.11600000000000001</v>
      </c>
      <c r="P44" s="16">
        <v>0.25700000000000001</v>
      </c>
      <c r="Q44" s="16">
        <v>-0.25900000000000001</v>
      </c>
      <c r="R44" s="3">
        <f>8138120599+47233021550</f>
        <v>55371142149</v>
      </c>
      <c r="S44" s="3">
        <f>548859950+7480410993</f>
        <v>8029270943</v>
      </c>
      <c r="T44" s="3">
        <f t="shared" si="6"/>
        <v>47341871206</v>
      </c>
      <c r="U44" s="15">
        <f t="shared" si="7"/>
        <v>0.74044903137518103</v>
      </c>
      <c r="V44" s="16">
        <f t="shared" si="8"/>
        <v>2.8501302609867371E-13</v>
      </c>
      <c r="W44" s="16">
        <f t="shared" si="9"/>
        <v>0.19029540106342152</v>
      </c>
      <c r="X44" s="16">
        <f t="shared" si="10"/>
        <v>-0.1308138889012169</v>
      </c>
      <c r="Y44" s="15">
        <f t="shared" si="11"/>
        <v>5.9481512162489647E-2</v>
      </c>
      <c r="Z44" s="47">
        <f t="shared" si="12"/>
        <v>3.6645205932111319E-2</v>
      </c>
    </row>
    <row r="45" spans="1:26" x14ac:dyDescent="0.25">
      <c r="A45" s="1"/>
      <c r="B45" s="12">
        <v>2022</v>
      </c>
      <c r="C45" s="3">
        <v>122919207172</v>
      </c>
      <c r="D45" s="3">
        <v>89316352664</v>
      </c>
      <c r="E45" s="3">
        <f t="shared" si="0"/>
        <v>33602854508</v>
      </c>
      <c r="F45" s="3">
        <v>728297403603</v>
      </c>
      <c r="G45" s="15">
        <f t="shared" si="1"/>
        <v>4.6138918444252962E-2</v>
      </c>
      <c r="H45" s="16">
        <f t="shared" si="2"/>
        <v>1.3730654469628001E-12</v>
      </c>
      <c r="I45" s="3">
        <v>647964319677</v>
      </c>
      <c r="J45" s="3">
        <v>459401131769</v>
      </c>
      <c r="K45" s="3">
        <f t="shared" si="3"/>
        <v>188563187908</v>
      </c>
      <c r="L45" s="15">
        <f t="shared" si="4"/>
        <v>0.25890959788562851</v>
      </c>
      <c r="M45" s="3">
        <v>276014531519</v>
      </c>
      <c r="N45" s="15">
        <f t="shared" si="5"/>
        <v>0.37898601608836363</v>
      </c>
      <c r="O45" s="16">
        <v>0.11600000000000001</v>
      </c>
      <c r="P45" s="16">
        <v>0.25700000000000001</v>
      </c>
      <c r="Q45" s="16">
        <v>-0.25900000000000001</v>
      </c>
      <c r="R45" s="3">
        <f>11967728457+74310727952</f>
        <v>86278456409</v>
      </c>
      <c r="S45" s="3">
        <f>8138120599+47233021550</f>
        <v>55371142149</v>
      </c>
      <c r="T45" s="3">
        <f t="shared" si="6"/>
        <v>30907314260</v>
      </c>
      <c r="U45" s="15">
        <f t="shared" si="7"/>
        <v>0.21647183261680186</v>
      </c>
      <c r="V45" s="16">
        <f t="shared" si="8"/>
        <v>1.5927559184768483E-13</v>
      </c>
      <c r="W45" s="16">
        <f t="shared" si="9"/>
        <v>5.5633260982518078E-2</v>
      </c>
      <c r="X45" s="16">
        <f t="shared" si="10"/>
        <v>-9.8157378166886189E-2</v>
      </c>
      <c r="Y45" s="15">
        <f t="shared" si="11"/>
        <v>-4.2524117184208836E-2</v>
      </c>
      <c r="Z45" s="47">
        <f t="shared" si="12"/>
        <v>8.8663035628461798E-2</v>
      </c>
    </row>
    <row r="46" spans="1:26" x14ac:dyDescent="0.25">
      <c r="A46" s="1"/>
      <c r="B46" s="12">
        <v>2023</v>
      </c>
      <c r="C46" s="3">
        <v>43816428957</v>
      </c>
      <c r="D46" s="3">
        <v>10353618399</v>
      </c>
      <c r="E46" s="3">
        <f t="shared" si="0"/>
        <v>33462810558</v>
      </c>
      <c r="F46" s="3">
        <v>816796722522</v>
      </c>
      <c r="G46" s="15">
        <f t="shared" si="1"/>
        <v>4.0968345777242877E-2</v>
      </c>
      <c r="H46" s="16">
        <f t="shared" si="2"/>
        <v>1.2242948244360341E-12</v>
      </c>
      <c r="I46" s="3">
        <v>401910300386</v>
      </c>
      <c r="J46" s="3">
        <v>647964319677</v>
      </c>
      <c r="K46" s="3">
        <f t="shared" si="3"/>
        <v>-246054019291</v>
      </c>
      <c r="L46" s="15">
        <f t="shared" si="4"/>
        <v>-0.30124266234965535</v>
      </c>
      <c r="M46" s="3">
        <v>474028578024</v>
      </c>
      <c r="N46" s="15">
        <f t="shared" si="5"/>
        <v>0.58035073470955589</v>
      </c>
      <c r="O46" s="16">
        <v>0.11600000000000001</v>
      </c>
      <c r="P46" s="16">
        <v>0.25700000000000001</v>
      </c>
      <c r="Q46" s="16">
        <v>-0.25900000000000001</v>
      </c>
      <c r="R46" s="3">
        <f>95670000+14220576145</f>
        <v>14316246145</v>
      </c>
      <c r="S46" s="3">
        <f>11967728457+74310727952</f>
        <v>86278456409</v>
      </c>
      <c r="T46" s="3">
        <f t="shared" si="6"/>
        <v>-71962210264</v>
      </c>
      <c r="U46" s="15">
        <f t="shared" si="7"/>
        <v>-0.21313970076846253</v>
      </c>
      <c r="V46" s="16">
        <f t="shared" si="8"/>
        <v>1.4201819963457997E-13</v>
      </c>
      <c r="W46" s="16">
        <f t="shared" si="9"/>
        <v>-5.4776903097494875E-2</v>
      </c>
      <c r="X46" s="16">
        <f t="shared" si="10"/>
        <v>-0.15031084028977498</v>
      </c>
      <c r="Y46" s="15">
        <f t="shared" si="11"/>
        <v>-0.20508774338712785</v>
      </c>
      <c r="Z46" s="47">
        <f t="shared" si="12"/>
        <v>0.24605608916437072</v>
      </c>
    </row>
    <row r="47" spans="1:26" x14ac:dyDescent="0.25">
      <c r="A47" s="1" t="s">
        <v>17</v>
      </c>
      <c r="B47" s="12">
        <v>2021</v>
      </c>
      <c r="C47" s="3">
        <v>1434551000000</v>
      </c>
      <c r="D47" s="3">
        <v>1271999000000</v>
      </c>
      <c r="E47" s="3">
        <f t="shared" si="0"/>
        <v>162552000000</v>
      </c>
      <c r="F47" s="3">
        <v>5870885000000</v>
      </c>
      <c r="G47" s="15">
        <f t="shared" si="1"/>
        <v>2.7687818787116424E-2</v>
      </c>
      <c r="H47" s="16">
        <f t="shared" si="2"/>
        <v>1.7033207088880126E-13</v>
      </c>
      <c r="I47" s="3">
        <v>6779643000000</v>
      </c>
      <c r="J47" s="3">
        <v>5731260683244</v>
      </c>
      <c r="K47" s="3">
        <f t="shared" si="3"/>
        <v>1048382316756</v>
      </c>
      <c r="L47" s="15">
        <f t="shared" si="4"/>
        <v>0.1785731310962487</v>
      </c>
      <c r="M47" s="3">
        <v>1551224000000</v>
      </c>
      <c r="N47" s="15">
        <f t="shared" si="5"/>
        <v>0.26422319633240987</v>
      </c>
      <c r="O47" s="16">
        <v>0.11600000000000001</v>
      </c>
      <c r="P47" s="16">
        <v>0.25700000000000001</v>
      </c>
      <c r="Q47" s="16">
        <v>-0.25900000000000001</v>
      </c>
      <c r="R47" s="3">
        <f>15489000000+1150535000000+27765000000+80472000000</f>
        <v>1274261000000</v>
      </c>
      <c r="S47" s="3">
        <f>8136963657+992501710177+34170145108+11449962249</f>
        <v>1046258781191</v>
      </c>
      <c r="T47" s="3">
        <f t="shared" si="6"/>
        <v>228002218809</v>
      </c>
      <c r="U47" s="15">
        <f t="shared" si="7"/>
        <v>0.13973704099927012</v>
      </c>
      <c r="V47" s="16">
        <f t="shared" si="8"/>
        <v>1.9758520223100947E-14</v>
      </c>
      <c r="W47" s="16">
        <f t="shared" si="9"/>
        <v>3.5912419536812422E-2</v>
      </c>
      <c r="X47" s="16">
        <f t="shared" si="10"/>
        <v>-6.8433807850094161E-2</v>
      </c>
      <c r="Y47" s="15">
        <f t="shared" si="11"/>
        <v>-3.2521388313261977E-2</v>
      </c>
      <c r="Z47" s="47">
        <f t="shared" si="12"/>
        <v>6.0209207100378401E-2</v>
      </c>
    </row>
    <row r="48" spans="1:26" x14ac:dyDescent="0.25">
      <c r="A48" s="1"/>
      <c r="B48" s="12">
        <v>2022</v>
      </c>
      <c r="C48" s="3">
        <v>1400365000000</v>
      </c>
      <c r="D48" s="3">
        <v>1461499000000</v>
      </c>
      <c r="E48" s="3">
        <f t="shared" si="0"/>
        <v>-61134000000</v>
      </c>
      <c r="F48" s="3">
        <v>10873760000000</v>
      </c>
      <c r="G48" s="15">
        <f t="shared" si="1"/>
        <v>-5.6221582966701489E-3</v>
      </c>
      <c r="H48" s="16">
        <f t="shared" si="2"/>
        <v>9.1964509056664847E-14</v>
      </c>
      <c r="I48" s="3">
        <v>6694171000000</v>
      </c>
      <c r="J48" s="3">
        <v>6779643000000</v>
      </c>
      <c r="K48" s="3">
        <f t="shared" si="3"/>
        <v>-85472000000</v>
      </c>
      <c r="L48" s="15">
        <f t="shared" si="4"/>
        <v>-7.8603905180912575E-3</v>
      </c>
      <c r="M48" s="3">
        <v>1588086000000</v>
      </c>
      <c r="N48" s="15">
        <f t="shared" si="5"/>
        <v>0.14604754932976266</v>
      </c>
      <c r="O48" s="16">
        <v>0.11600000000000001</v>
      </c>
      <c r="P48" s="16">
        <v>0.25700000000000001</v>
      </c>
      <c r="Q48" s="16">
        <v>-0.25900000000000001</v>
      </c>
      <c r="R48" s="3">
        <f>11192000000+1062461000000+35960000000+67602000000</f>
        <v>1177215000000</v>
      </c>
      <c r="S48" s="3">
        <f>15489000000+1150535000000+27765000000+80472000000</f>
        <v>1274261000000</v>
      </c>
      <c r="T48" s="3">
        <f t="shared" si="6"/>
        <v>-97046000000</v>
      </c>
      <c r="U48" s="15">
        <f t="shared" si="7"/>
        <v>1.064397227821839E-3</v>
      </c>
      <c r="V48" s="16">
        <f t="shared" si="8"/>
        <v>1.0667883050573123E-14</v>
      </c>
      <c r="W48" s="16">
        <f t="shared" si="9"/>
        <v>2.7355008755021264E-4</v>
      </c>
      <c r="X48" s="16">
        <f t="shared" si="10"/>
        <v>-3.7826315276408527E-2</v>
      </c>
      <c r="Y48" s="15">
        <f t="shared" si="11"/>
        <v>-3.7552765188847648E-2</v>
      </c>
      <c r="Z48" s="47">
        <f t="shared" si="12"/>
        <v>3.1930606892177499E-2</v>
      </c>
    </row>
    <row r="49" spans="1:26" x14ac:dyDescent="0.25">
      <c r="A49" s="1"/>
      <c r="B49" s="12">
        <v>2023</v>
      </c>
      <c r="C49" s="3">
        <v>1643096000000</v>
      </c>
      <c r="D49" s="3">
        <v>1585535000000</v>
      </c>
      <c r="E49" s="3">
        <f t="shared" si="0"/>
        <v>57561000000</v>
      </c>
      <c r="F49" s="3">
        <v>10792122000000</v>
      </c>
      <c r="G49" s="15">
        <f t="shared" si="1"/>
        <v>5.3336127964454067E-3</v>
      </c>
      <c r="H49" s="16">
        <f t="shared" si="2"/>
        <v>9.266018304833841E-14</v>
      </c>
      <c r="I49" s="3">
        <v>7016882000000</v>
      </c>
      <c r="J49" s="3">
        <v>6694171000000</v>
      </c>
      <c r="K49" s="3">
        <f t="shared" si="3"/>
        <v>322711000000</v>
      </c>
      <c r="L49" s="15">
        <f t="shared" si="4"/>
        <v>2.9902460331712337E-2</v>
      </c>
      <c r="M49" s="3">
        <v>1659163000000</v>
      </c>
      <c r="N49" s="15">
        <f t="shared" si="5"/>
        <v>0.15373834728703029</v>
      </c>
      <c r="O49" s="16">
        <v>0.11600000000000001</v>
      </c>
      <c r="P49" s="16">
        <v>0.25700000000000001</v>
      </c>
      <c r="Q49" s="16">
        <v>-0.25900000000000001</v>
      </c>
      <c r="R49" s="3">
        <f>14018000000+1229025000000+56538000000+49331000000</f>
        <v>1348912000000</v>
      </c>
      <c r="S49" s="3">
        <f>11192000000+1062461000000+35960000000+67602000000</f>
        <v>1177215000000</v>
      </c>
      <c r="T49" s="3">
        <f t="shared" si="6"/>
        <v>171697000000</v>
      </c>
      <c r="U49" s="15">
        <f t="shared" si="7"/>
        <v>1.3992984882861777E-2</v>
      </c>
      <c r="V49" s="16">
        <f t="shared" si="8"/>
        <v>1.0748581233607256E-14</v>
      </c>
      <c r="W49" s="16">
        <f t="shared" si="9"/>
        <v>3.5961971148954766E-3</v>
      </c>
      <c r="X49" s="16">
        <f t="shared" si="10"/>
        <v>-3.9818231947340847E-2</v>
      </c>
      <c r="Y49" s="15">
        <f t="shared" si="11"/>
        <v>-3.6222034832434621E-2</v>
      </c>
      <c r="Z49" s="47">
        <f t="shared" si="12"/>
        <v>4.1555647628880026E-2</v>
      </c>
    </row>
    <row r="50" spans="1:26" x14ac:dyDescent="0.25">
      <c r="A50" s="2" t="s">
        <v>18</v>
      </c>
      <c r="B50" s="12">
        <v>2021</v>
      </c>
      <c r="C50" s="3">
        <v>2067362000000</v>
      </c>
      <c r="D50" s="3">
        <v>4895119000000</v>
      </c>
      <c r="E50" s="3">
        <f t="shared" si="0"/>
        <v>-2827757000000</v>
      </c>
      <c r="F50" s="3">
        <v>27781231000000</v>
      </c>
      <c r="G50" s="15">
        <f t="shared" si="1"/>
        <v>-0.10178659829724608</v>
      </c>
      <c r="H50" s="16">
        <f t="shared" si="2"/>
        <v>3.5995525180291688E-14</v>
      </c>
      <c r="I50" s="3">
        <v>24322048000000</v>
      </c>
      <c r="J50" s="3">
        <v>18807043000000</v>
      </c>
      <c r="K50" s="3">
        <f t="shared" si="3"/>
        <v>5515005000000</v>
      </c>
      <c r="L50" s="15">
        <f t="shared" si="4"/>
        <v>0.19851550134693455</v>
      </c>
      <c r="M50" s="3">
        <v>9172225000000</v>
      </c>
      <c r="N50" s="15">
        <f t="shared" si="5"/>
        <v>0.33015905594680089</v>
      </c>
      <c r="O50" s="16">
        <v>0.11600000000000001</v>
      </c>
      <c r="P50" s="16">
        <v>0.25700000000000001</v>
      </c>
      <c r="Q50" s="16">
        <v>-0.25900000000000001</v>
      </c>
      <c r="R50" s="3">
        <f>236336000000+221799000000+124860000000+1222000000</f>
        <v>584217000000</v>
      </c>
      <c r="S50" s="3">
        <f>391189000000+374660000000+620750000000+3385000000</f>
        <v>1389984000000</v>
      </c>
      <c r="T50" s="3">
        <f t="shared" si="6"/>
        <v>-805767000000</v>
      </c>
      <c r="U50" s="15">
        <f t="shared" si="7"/>
        <v>0.22751950768488263</v>
      </c>
      <c r="V50" s="16">
        <f t="shared" si="8"/>
        <v>4.1754809209138358E-15</v>
      </c>
      <c r="W50" s="16">
        <f t="shared" si="9"/>
        <v>5.8472513475014837E-2</v>
      </c>
      <c r="X50" s="16">
        <f t="shared" si="10"/>
        <v>-8.5511195490221431E-2</v>
      </c>
      <c r="Y50" s="15">
        <f t="shared" si="11"/>
        <v>-2.7038682015202417E-2</v>
      </c>
      <c r="Z50" s="47">
        <f t="shared" si="12"/>
        <v>-7.4747916282043664E-2</v>
      </c>
    </row>
    <row r="51" spans="1:26" x14ac:dyDescent="0.25">
      <c r="A51" s="2"/>
      <c r="B51" s="12">
        <v>2022</v>
      </c>
      <c r="C51" s="3">
        <v>1792050000000</v>
      </c>
      <c r="D51" s="3">
        <v>1835397000000</v>
      </c>
      <c r="E51" s="3">
        <f t="shared" si="0"/>
        <v>-43347000000</v>
      </c>
      <c r="F51" s="3">
        <v>30399906000000</v>
      </c>
      <c r="G51" s="15">
        <f t="shared" si="1"/>
        <v>-1.4258925669046476E-3</v>
      </c>
      <c r="H51" s="16">
        <f t="shared" si="2"/>
        <v>3.2894838556408694E-14</v>
      </c>
      <c r="I51" s="3">
        <v>21828591000000</v>
      </c>
      <c r="J51" s="3">
        <v>24322048000000</v>
      </c>
      <c r="K51" s="3">
        <f t="shared" si="3"/>
        <v>-2493457000000</v>
      </c>
      <c r="L51" s="15">
        <f t="shared" si="4"/>
        <v>-8.202186546234716E-2</v>
      </c>
      <c r="M51" s="3">
        <v>9104799000000</v>
      </c>
      <c r="N51" s="15">
        <f t="shared" si="5"/>
        <v>0.29950089319355133</v>
      </c>
      <c r="O51" s="16">
        <v>0.11600000000000001</v>
      </c>
      <c r="P51" s="16">
        <v>0.25700000000000001</v>
      </c>
      <c r="Q51" s="16">
        <v>-0.25900000000000001</v>
      </c>
      <c r="R51" s="3">
        <f>484846000000+363924000000+42279000000+7381000000</f>
        <v>898430000000</v>
      </c>
      <c r="S51" s="3">
        <f>236336000000+221799000000+124860000000+1222000000</f>
        <v>584217000000</v>
      </c>
      <c r="T51" s="3">
        <f t="shared" si="6"/>
        <v>314213000000</v>
      </c>
      <c r="U51" s="15">
        <f t="shared" si="7"/>
        <v>-9.2357851369671992E-2</v>
      </c>
      <c r="V51" s="16">
        <f t="shared" si="8"/>
        <v>3.815801272543409E-15</v>
      </c>
      <c r="W51" s="16">
        <f t="shared" si="9"/>
        <v>-2.3735967802005702E-2</v>
      </c>
      <c r="X51" s="16">
        <f t="shared" si="10"/>
        <v>-7.75707313371298E-2</v>
      </c>
      <c r="Y51" s="15">
        <f t="shared" si="11"/>
        <v>-0.10130669913913168</v>
      </c>
      <c r="Z51" s="47">
        <f t="shared" si="12"/>
        <v>9.9880806572227032E-2</v>
      </c>
    </row>
    <row r="52" spans="1:26" x14ac:dyDescent="0.25">
      <c r="A52" s="2"/>
      <c r="B52" s="12">
        <v>2023</v>
      </c>
      <c r="C52" s="3">
        <v>1088170000000</v>
      </c>
      <c r="D52" s="3">
        <v>2538738000000</v>
      </c>
      <c r="E52" s="3">
        <f t="shared" si="0"/>
        <v>-1450568000000</v>
      </c>
      <c r="F52" s="3">
        <v>29249340000000</v>
      </c>
      <c r="G52" s="15">
        <f t="shared" si="1"/>
        <v>-4.9593187401835395E-2</v>
      </c>
      <c r="H52" s="16">
        <f t="shared" si="2"/>
        <v>3.4188805627750919E-14</v>
      </c>
      <c r="I52" s="3">
        <v>20745473000000</v>
      </c>
      <c r="J52" s="3">
        <v>21828591000000</v>
      </c>
      <c r="K52" s="3">
        <f t="shared" si="3"/>
        <v>-1083118000000</v>
      </c>
      <c r="L52" s="15">
        <f t="shared" si="4"/>
        <v>-3.7030510773918321E-2</v>
      </c>
      <c r="M52" s="3">
        <v>8982236000000</v>
      </c>
      <c r="N52" s="15">
        <f t="shared" si="5"/>
        <v>0.30709192070658686</v>
      </c>
      <c r="O52" s="16">
        <v>0.11600000000000001</v>
      </c>
      <c r="P52" s="16">
        <v>0.25700000000000001</v>
      </c>
      <c r="Q52" s="16">
        <v>-0.25900000000000001</v>
      </c>
      <c r="R52" s="3">
        <f>140480000000+534007000000+204291000000</f>
        <v>878778000000</v>
      </c>
      <c r="S52" s="3">
        <f>484846000000+363924000000+42279000000+7381000000</f>
        <v>898430000000</v>
      </c>
      <c r="T52" s="3">
        <f t="shared" si="6"/>
        <v>-19652000000</v>
      </c>
      <c r="U52" s="15">
        <f t="shared" si="7"/>
        <v>-3.6358632365721753E-2</v>
      </c>
      <c r="V52" s="16">
        <f t="shared" si="8"/>
        <v>3.965901452819107E-15</v>
      </c>
      <c r="W52" s="16">
        <f t="shared" si="9"/>
        <v>-9.3441685179904907E-3</v>
      </c>
      <c r="X52" s="16">
        <f t="shared" si="10"/>
        <v>-7.9536807463005996E-2</v>
      </c>
      <c r="Y52" s="15">
        <f t="shared" si="11"/>
        <v>-8.8880975980992524E-2</v>
      </c>
      <c r="Z52" s="47">
        <f t="shared" si="12"/>
        <v>3.9287788579157129E-2</v>
      </c>
    </row>
    <row r="53" spans="1:26" x14ac:dyDescent="0.25">
      <c r="A53" s="2" t="s">
        <v>19</v>
      </c>
      <c r="B53" s="12">
        <v>2021</v>
      </c>
      <c r="C53" s="3">
        <v>265758000000</v>
      </c>
      <c r="D53" s="3">
        <v>308341000000</v>
      </c>
      <c r="E53" s="3">
        <f t="shared" si="0"/>
        <v>-42583000000</v>
      </c>
      <c r="F53" s="3">
        <v>958791000000</v>
      </c>
      <c r="G53" s="15">
        <f t="shared" si="1"/>
        <v>-4.4413224571361223E-2</v>
      </c>
      <c r="H53" s="16">
        <f t="shared" si="2"/>
        <v>1.0429801698180313E-12</v>
      </c>
      <c r="I53" s="3">
        <v>935075000000</v>
      </c>
      <c r="J53" s="3">
        <v>673364000000</v>
      </c>
      <c r="K53" s="3">
        <f t="shared" si="3"/>
        <v>261711000000</v>
      </c>
      <c r="L53" s="15">
        <f t="shared" si="4"/>
        <v>0.27295938322324675</v>
      </c>
      <c r="M53" s="3">
        <v>503588000000</v>
      </c>
      <c r="N53" s="15">
        <f t="shared" si="5"/>
        <v>0.5252322977583227</v>
      </c>
      <c r="O53" s="16">
        <v>0.11600000000000001</v>
      </c>
      <c r="P53" s="16">
        <v>0.25700000000000001</v>
      </c>
      <c r="Q53" s="16">
        <v>-0.25900000000000001</v>
      </c>
      <c r="R53" s="3">
        <f>162895000000+2878000000</f>
        <v>165773000000</v>
      </c>
      <c r="S53" s="3">
        <f>119610000000+2159000000</f>
        <v>121769000000</v>
      </c>
      <c r="T53" s="3">
        <f t="shared" si="6"/>
        <v>44004000000</v>
      </c>
      <c r="U53" s="15">
        <f t="shared" si="7"/>
        <v>0.22706408383057414</v>
      </c>
      <c r="V53" s="16">
        <f t="shared" si="8"/>
        <v>1.2098569969889163E-13</v>
      </c>
      <c r="W53" s="16">
        <f t="shared" si="9"/>
        <v>5.8355469544457556E-2</v>
      </c>
      <c r="X53" s="16">
        <f t="shared" si="10"/>
        <v>-0.13603516511940558</v>
      </c>
      <c r="Y53" s="15">
        <f t="shared" si="11"/>
        <v>-7.767969557482704E-2</v>
      </c>
      <c r="Z53" s="47">
        <f t="shared" si="12"/>
        <v>3.3266471003465817E-2</v>
      </c>
    </row>
    <row r="54" spans="1:26" x14ac:dyDescent="0.25">
      <c r="A54" s="2"/>
      <c r="B54" s="12">
        <v>2022</v>
      </c>
      <c r="C54" s="3">
        <v>364972000000</v>
      </c>
      <c r="D54" s="3">
        <v>312748000000</v>
      </c>
      <c r="E54" s="3">
        <f t="shared" si="0"/>
        <v>52224000000</v>
      </c>
      <c r="F54" s="3">
        <v>1304108000000</v>
      </c>
      <c r="G54" s="15">
        <f t="shared" si="1"/>
        <v>4.0045763080971825E-2</v>
      </c>
      <c r="H54" s="16">
        <f t="shared" si="2"/>
        <v>7.6680765703454012E-13</v>
      </c>
      <c r="I54" s="3">
        <v>1290992000000</v>
      </c>
      <c r="J54" s="3">
        <v>935075000000</v>
      </c>
      <c r="K54" s="3">
        <f t="shared" si="3"/>
        <v>355917000000</v>
      </c>
      <c r="L54" s="15">
        <f t="shared" si="4"/>
        <v>0.2729198808687624</v>
      </c>
      <c r="M54" s="3">
        <v>708363000000</v>
      </c>
      <c r="N54" s="15">
        <f t="shared" si="5"/>
        <v>0.54317817235995791</v>
      </c>
      <c r="O54" s="16">
        <v>0.11600000000000001</v>
      </c>
      <c r="P54" s="16">
        <v>0.25700000000000001</v>
      </c>
      <c r="Q54" s="16">
        <v>-0.25900000000000001</v>
      </c>
      <c r="R54" s="3">
        <f>188937000000+2474000000</f>
        <v>191411000000</v>
      </c>
      <c r="S54" s="3">
        <f>162895000000+2878000000</f>
        <v>165773000000</v>
      </c>
      <c r="T54" s="3">
        <f t="shared" si="6"/>
        <v>25638000000</v>
      </c>
      <c r="U54" s="15">
        <f t="shared" si="7"/>
        <v>0.25326046615771086</v>
      </c>
      <c r="V54" s="16">
        <f t="shared" si="8"/>
        <v>8.8949688216006658E-14</v>
      </c>
      <c r="W54" s="16">
        <f t="shared" si="9"/>
        <v>6.5087939802531691E-2</v>
      </c>
      <c r="X54" s="16">
        <f t="shared" si="10"/>
        <v>-0.14068314664122911</v>
      </c>
      <c r="Y54" s="15">
        <f t="shared" si="11"/>
        <v>-7.5595206838608459E-2</v>
      </c>
      <c r="Z54" s="47">
        <f t="shared" si="12"/>
        <v>0.11564096991958028</v>
      </c>
    </row>
    <row r="55" spans="1:26" x14ac:dyDescent="0.25">
      <c r="A55" s="2"/>
      <c r="B55" s="12">
        <v>2023</v>
      </c>
      <c r="C55" s="3">
        <v>395798000000</v>
      </c>
      <c r="D55" s="3">
        <v>459648000000</v>
      </c>
      <c r="E55" s="3">
        <f t="shared" si="0"/>
        <v>-63850000000</v>
      </c>
      <c r="F55" s="3">
        <v>1645582000000</v>
      </c>
      <c r="G55" s="15">
        <f t="shared" si="1"/>
        <v>-3.880086194428476E-2</v>
      </c>
      <c r="H55" s="16">
        <f t="shared" si="2"/>
        <v>6.0768773601072443E-13</v>
      </c>
      <c r="I55" s="3">
        <v>1525445000000</v>
      </c>
      <c r="J55" s="3">
        <v>1290992000000</v>
      </c>
      <c r="K55" s="3">
        <f t="shared" si="3"/>
        <v>234453000000</v>
      </c>
      <c r="L55" s="15">
        <f t="shared" si="4"/>
        <v>0.1424742127709224</v>
      </c>
      <c r="M55" s="3">
        <v>745409000000</v>
      </c>
      <c r="N55" s="15">
        <f t="shared" si="5"/>
        <v>0.45297590761201811</v>
      </c>
      <c r="O55" s="16">
        <v>0.11600000000000001</v>
      </c>
      <c r="P55" s="16">
        <v>0.25700000000000001</v>
      </c>
      <c r="Q55" s="16">
        <v>-0.25900000000000001</v>
      </c>
      <c r="R55" s="3">
        <f>222758000000+6244000000</f>
        <v>229002000000</v>
      </c>
      <c r="S55" s="3">
        <f>188937000000+2474000000</f>
        <v>191411000000</v>
      </c>
      <c r="T55" s="3">
        <f t="shared" si="6"/>
        <v>37591000000</v>
      </c>
      <c r="U55" s="15">
        <f t="shared" si="7"/>
        <v>0.11963062308654324</v>
      </c>
      <c r="V55" s="16">
        <f t="shared" si="8"/>
        <v>7.0491777377244039E-14</v>
      </c>
      <c r="W55" s="16">
        <f t="shared" si="9"/>
        <v>3.0745070133241612E-2</v>
      </c>
      <c r="X55" s="16">
        <f t="shared" si="10"/>
        <v>-0.11732076007151269</v>
      </c>
      <c r="Y55" s="15">
        <f t="shared" si="11"/>
        <v>-8.6575689938200584E-2</v>
      </c>
      <c r="Z55" s="47">
        <f t="shared" si="12"/>
        <v>4.7774827993915824E-2</v>
      </c>
    </row>
    <row r="56" spans="1:26" x14ac:dyDescent="0.25">
      <c r="A56" s="2" t="s">
        <v>20</v>
      </c>
      <c r="B56" s="12">
        <v>2021</v>
      </c>
      <c r="C56" s="3">
        <v>380992000000</v>
      </c>
      <c r="D56" s="3">
        <v>652538000000</v>
      </c>
      <c r="E56" s="3">
        <f t="shared" si="0"/>
        <v>-271546000000</v>
      </c>
      <c r="F56" s="3">
        <v>2914979000000</v>
      </c>
      <c r="G56" s="15">
        <f t="shared" si="1"/>
        <v>-9.3155388083413296E-2</v>
      </c>
      <c r="H56" s="16">
        <f t="shared" si="2"/>
        <v>3.4305564465472992E-13</v>
      </c>
      <c r="I56" s="3">
        <v>2015138000000</v>
      </c>
      <c r="J56" s="3">
        <v>1812762000000</v>
      </c>
      <c r="K56" s="3">
        <f t="shared" si="3"/>
        <v>202376000000</v>
      </c>
      <c r="L56" s="15">
        <f t="shared" si="4"/>
        <v>6.9426229142645624E-2</v>
      </c>
      <c r="M56" s="3">
        <v>497760000000</v>
      </c>
      <c r="N56" s="15">
        <f t="shared" si="5"/>
        <v>0.17075937768333838</v>
      </c>
      <c r="O56" s="16">
        <v>0.11600000000000001</v>
      </c>
      <c r="P56" s="16">
        <v>0.25700000000000001</v>
      </c>
      <c r="Q56" s="16">
        <v>-0.25900000000000001</v>
      </c>
      <c r="R56" s="3">
        <f>533688000000+3324000000+7268000000</f>
        <v>544280000000</v>
      </c>
      <c r="S56" s="3">
        <f>667410000000+11142000000+2401000000</f>
        <v>680953000000</v>
      </c>
      <c r="T56" s="3">
        <f t="shared" si="6"/>
        <v>-136673000000</v>
      </c>
      <c r="U56" s="15">
        <f t="shared" si="7"/>
        <v>0.11631267326454153</v>
      </c>
      <c r="V56" s="16">
        <f t="shared" si="8"/>
        <v>3.979445477994867E-14</v>
      </c>
      <c r="W56" s="16">
        <f t="shared" si="9"/>
        <v>2.9892357028987175E-2</v>
      </c>
      <c r="X56" s="16">
        <f t="shared" si="10"/>
        <v>-4.4226678819984641E-2</v>
      </c>
      <c r="Y56" s="15">
        <f t="shared" si="11"/>
        <v>-1.4334321790957671E-2</v>
      </c>
      <c r="Z56" s="47">
        <f t="shared" si="12"/>
        <v>-7.8821066292455624E-2</v>
      </c>
    </row>
    <row r="57" spans="1:26" x14ac:dyDescent="0.25">
      <c r="A57" s="2"/>
      <c r="B57" s="12">
        <v>2022</v>
      </c>
      <c r="C57" s="3">
        <v>523242000000</v>
      </c>
      <c r="D57" s="3">
        <v>668145000000</v>
      </c>
      <c r="E57" s="3">
        <f t="shared" si="0"/>
        <v>-144903000000</v>
      </c>
      <c r="F57" s="3">
        <v>3132202000000</v>
      </c>
      <c r="G57" s="15">
        <f t="shared" si="1"/>
        <v>-4.6262341956233986E-2</v>
      </c>
      <c r="H57" s="16">
        <f t="shared" si="2"/>
        <v>3.1926421092892477E-13</v>
      </c>
      <c r="I57" s="3">
        <v>2415592000000</v>
      </c>
      <c r="J57" s="3">
        <v>2015138000000</v>
      </c>
      <c r="K57" s="3">
        <f t="shared" si="3"/>
        <v>400454000000</v>
      </c>
      <c r="L57" s="15">
        <f t="shared" si="4"/>
        <v>0.12785063032333163</v>
      </c>
      <c r="M57" s="3">
        <v>515181000000</v>
      </c>
      <c r="N57" s="15">
        <f t="shared" si="5"/>
        <v>0.16447885545057439</v>
      </c>
      <c r="O57" s="16">
        <v>0.11600000000000001</v>
      </c>
      <c r="P57" s="16">
        <v>0.25700000000000001</v>
      </c>
      <c r="Q57" s="16">
        <v>-0.25900000000000001</v>
      </c>
      <c r="R57" s="3">
        <f>413255000000+1960000000+11113000000</f>
        <v>426328000000</v>
      </c>
      <c r="S57" s="3">
        <f>533688000000+3324000000+7268000000</f>
        <v>544280000000</v>
      </c>
      <c r="T57" s="3">
        <f t="shared" si="6"/>
        <v>-117952000000</v>
      </c>
      <c r="U57" s="15">
        <f t="shared" si="7"/>
        <v>0.16550848253082018</v>
      </c>
      <c r="V57" s="16">
        <f t="shared" si="8"/>
        <v>3.7034648467755273E-14</v>
      </c>
      <c r="W57" s="16">
        <f t="shared" si="9"/>
        <v>4.2535680010420789E-2</v>
      </c>
      <c r="X57" s="16">
        <f t="shared" si="10"/>
        <v>-4.2600023561698772E-2</v>
      </c>
      <c r="Y57" s="15">
        <f t="shared" si="11"/>
        <v>-6.4343551240950148E-5</v>
      </c>
      <c r="Z57" s="47">
        <f t="shared" si="12"/>
        <v>-4.6197998404993036E-2</v>
      </c>
    </row>
    <row r="58" spans="1:26" x14ac:dyDescent="0.25">
      <c r="A58" s="2"/>
      <c r="B58" s="12">
        <v>2023</v>
      </c>
      <c r="C58" s="3">
        <v>595740000000</v>
      </c>
      <c r="D58" s="3">
        <v>42910000000</v>
      </c>
      <c r="E58" s="3">
        <f t="shared" si="0"/>
        <v>552830000000</v>
      </c>
      <c r="F58" s="3">
        <v>3410481000000</v>
      </c>
      <c r="G58" s="15">
        <f t="shared" si="1"/>
        <v>0.16209736984313944</v>
      </c>
      <c r="H58" s="16">
        <f t="shared" si="2"/>
        <v>2.9321377248546467E-13</v>
      </c>
      <c r="I58" s="3">
        <v>2298131000000</v>
      </c>
      <c r="J58" s="3">
        <v>2415592000000</v>
      </c>
      <c r="K58" s="3">
        <f t="shared" si="3"/>
        <v>-117461000000</v>
      </c>
      <c r="L58" s="15">
        <f t="shared" si="4"/>
        <v>-3.4441182929915166E-2</v>
      </c>
      <c r="M58" s="3">
        <v>721419000000</v>
      </c>
      <c r="N58" s="15">
        <f t="shared" si="5"/>
        <v>0.21152998653269142</v>
      </c>
      <c r="O58" s="16">
        <v>0.11600000000000001</v>
      </c>
      <c r="P58" s="16">
        <v>0.25700000000000001</v>
      </c>
      <c r="Q58" s="16">
        <v>-0.25900000000000001</v>
      </c>
      <c r="R58" s="3">
        <f>1009143000000+1659000000+12043000000</f>
        <v>1022845000000</v>
      </c>
      <c r="S58" s="3">
        <f>413255000000+1960000000+11113000000</f>
        <v>426328000000</v>
      </c>
      <c r="T58" s="3">
        <f t="shared" si="6"/>
        <v>596517000000</v>
      </c>
      <c r="U58" s="15">
        <f t="shared" si="7"/>
        <v>-0.2093481828516271</v>
      </c>
      <c r="V58" s="16">
        <f t="shared" si="8"/>
        <v>3.4012797608313906E-14</v>
      </c>
      <c r="W58" s="16">
        <f t="shared" si="9"/>
        <v>-5.3802482992868168E-2</v>
      </c>
      <c r="X58" s="16">
        <f t="shared" si="10"/>
        <v>-5.478626651196708E-2</v>
      </c>
      <c r="Y58" s="15">
        <f t="shared" si="11"/>
        <v>-0.10858874950480124</v>
      </c>
      <c r="Z58" s="47">
        <f t="shared" si="12"/>
        <v>0.27068611934794068</v>
      </c>
    </row>
    <row r="59" spans="1:26" x14ac:dyDescent="0.25">
      <c r="A59" s="2" t="s">
        <v>21</v>
      </c>
      <c r="B59" s="12">
        <v>2021</v>
      </c>
      <c r="C59" s="3">
        <v>187066990085</v>
      </c>
      <c r="D59" s="3">
        <v>-91481686113</v>
      </c>
      <c r="E59" s="3">
        <f t="shared" si="0"/>
        <v>278548676198</v>
      </c>
      <c r="F59" s="3">
        <v>1566673828068</v>
      </c>
      <c r="G59" s="15">
        <f t="shared" si="1"/>
        <v>0.17779621463486264</v>
      </c>
      <c r="H59" s="16">
        <f t="shared" si="2"/>
        <v>6.3829495462574103E-13</v>
      </c>
      <c r="I59" s="3">
        <v>5359440530374</v>
      </c>
      <c r="J59" s="3">
        <v>3634297273749</v>
      </c>
      <c r="K59" s="3">
        <f t="shared" si="3"/>
        <v>1725143256625</v>
      </c>
      <c r="L59" s="15">
        <f t="shared" si="4"/>
        <v>1.1011502367103574</v>
      </c>
      <c r="M59" s="3">
        <v>236062886495</v>
      </c>
      <c r="N59" s="15">
        <f t="shared" si="5"/>
        <v>0.15067774942414747</v>
      </c>
      <c r="O59" s="16">
        <v>0.11600000000000001</v>
      </c>
      <c r="P59" s="16">
        <v>0.25700000000000001</v>
      </c>
      <c r="Q59" s="16">
        <v>-0.25900000000000001</v>
      </c>
      <c r="R59" s="3">
        <f>231747886364+331162815173+2147106470+133048209</f>
        <v>565190856216</v>
      </c>
      <c r="S59" s="3">
        <f>119694603388+296898154464+700314377</f>
        <v>417293072229</v>
      </c>
      <c r="T59" s="3">
        <f t="shared" si="6"/>
        <v>147897783987</v>
      </c>
      <c r="U59" s="15">
        <f t="shared" si="7"/>
        <v>1.0067478273911277</v>
      </c>
      <c r="V59" s="16">
        <f t="shared" si="8"/>
        <v>7.4042214736585969E-14</v>
      </c>
      <c r="W59" s="16">
        <f t="shared" si="9"/>
        <v>0.25873419163951983</v>
      </c>
      <c r="X59" s="16">
        <f t="shared" si="10"/>
        <v>-3.9025537100854192E-2</v>
      </c>
      <c r="Y59" s="15">
        <f t="shared" si="11"/>
        <v>0.21970865453873969</v>
      </c>
      <c r="Z59" s="47">
        <f t="shared" si="12"/>
        <v>-4.1912439903877052E-2</v>
      </c>
    </row>
    <row r="60" spans="1:26" x14ac:dyDescent="0.25">
      <c r="A60" s="2"/>
      <c r="B60" s="12">
        <v>2022</v>
      </c>
      <c r="C60" s="3">
        <v>220704543072</v>
      </c>
      <c r="D60" s="3">
        <v>11867530566</v>
      </c>
      <c r="E60" s="3">
        <f t="shared" si="0"/>
        <v>208837012506</v>
      </c>
      <c r="F60" s="3">
        <v>1697387196209</v>
      </c>
      <c r="G60" s="15">
        <f t="shared" si="1"/>
        <v>0.12303439838147914</v>
      </c>
      <c r="H60" s="16">
        <f t="shared" si="2"/>
        <v>5.891407701397964E-13</v>
      </c>
      <c r="I60" s="3">
        <v>6143759424928</v>
      </c>
      <c r="J60" s="3">
        <v>5359440530374</v>
      </c>
      <c r="K60" s="3">
        <f t="shared" si="3"/>
        <v>784318894554</v>
      </c>
      <c r="L60" s="15">
        <f t="shared" si="4"/>
        <v>0.46207423757273736</v>
      </c>
      <c r="M60" s="3">
        <v>269389502266</v>
      </c>
      <c r="N60" s="15">
        <f t="shared" si="5"/>
        <v>0.15870833883256769</v>
      </c>
      <c r="O60" s="16">
        <v>0.11600000000000001</v>
      </c>
      <c r="P60" s="16">
        <v>0.25700000000000001</v>
      </c>
      <c r="Q60" s="16">
        <v>-0.25900000000000001</v>
      </c>
      <c r="R60" s="3">
        <f>192708209797+650796429735+3148103827+34438444</f>
        <v>846687181803</v>
      </c>
      <c r="S60" s="3">
        <f>231747886364+331162815173+2147106470+133048209</f>
        <v>565190856216</v>
      </c>
      <c r="T60" s="3">
        <f t="shared" si="6"/>
        <v>281496325587</v>
      </c>
      <c r="U60" s="15">
        <f t="shared" si="7"/>
        <v>0.29623327552488926</v>
      </c>
      <c r="V60" s="16">
        <f t="shared" si="8"/>
        <v>6.8340329336216392E-14</v>
      </c>
      <c r="W60" s="16">
        <f t="shared" si="9"/>
        <v>7.6131951809896542E-2</v>
      </c>
      <c r="X60" s="16">
        <f t="shared" si="10"/>
        <v>-4.1105459757635035E-2</v>
      </c>
      <c r="Y60" s="15">
        <f t="shared" si="11"/>
        <v>3.5026492052329841E-2</v>
      </c>
      <c r="Z60" s="47">
        <f t="shared" si="12"/>
        <v>8.8007906329149302E-2</v>
      </c>
    </row>
    <row r="61" spans="1:26" x14ac:dyDescent="0.25">
      <c r="A61" s="2"/>
      <c r="B61" s="12">
        <v>2023</v>
      </c>
      <c r="C61" s="3">
        <v>153574779624</v>
      </c>
      <c r="D61" s="3">
        <v>542472806836</v>
      </c>
      <c r="E61" s="3">
        <f t="shared" si="0"/>
        <v>-388898027212</v>
      </c>
      <c r="F61" s="3">
        <v>1718287453575</v>
      </c>
      <c r="G61" s="15">
        <f t="shared" si="1"/>
        <v>-0.22632885225511853</v>
      </c>
      <c r="H61" s="16">
        <f t="shared" si="2"/>
        <v>5.8197480166629863E-13</v>
      </c>
      <c r="I61" s="3">
        <v>6337428625946</v>
      </c>
      <c r="J61" s="3">
        <v>6143759424928</v>
      </c>
      <c r="K61" s="3">
        <f t="shared" si="3"/>
        <v>193669201018</v>
      </c>
      <c r="L61" s="15">
        <f t="shared" si="4"/>
        <v>0.11271059485132108</v>
      </c>
      <c r="M61" s="3">
        <v>258287485636</v>
      </c>
      <c r="N61" s="15">
        <f t="shared" si="5"/>
        <v>0.15031680822589807</v>
      </c>
      <c r="O61" s="16">
        <v>0.11600000000000001</v>
      </c>
      <c r="P61" s="16">
        <v>0.25700000000000001</v>
      </c>
      <c r="Q61" s="16">
        <v>-0.25900000000000001</v>
      </c>
      <c r="R61" s="3">
        <f>391665995268+232322877766+795493898</f>
        <v>624784366932</v>
      </c>
      <c r="S61" s="3">
        <f>192708209797+650796429735+3148103827+34438444</f>
        <v>846687181803</v>
      </c>
      <c r="T61" s="3">
        <f t="shared" si="6"/>
        <v>-221902814871</v>
      </c>
      <c r="U61" s="15">
        <f t="shared" si="7"/>
        <v>0.24185244152506469</v>
      </c>
      <c r="V61" s="16">
        <f t="shared" si="8"/>
        <v>6.7509076993290646E-14</v>
      </c>
      <c r="W61" s="16">
        <f t="shared" si="9"/>
        <v>6.2156077471941629E-2</v>
      </c>
      <c r="X61" s="16">
        <f t="shared" si="10"/>
        <v>-3.8932053330507602E-2</v>
      </c>
      <c r="Y61" s="15">
        <f t="shared" si="11"/>
        <v>2.3224024141501536E-2</v>
      </c>
      <c r="Z61" s="47">
        <f t="shared" si="12"/>
        <v>-0.24955287639662008</v>
      </c>
    </row>
    <row r="62" spans="1:26" x14ac:dyDescent="0.25">
      <c r="A62" s="2" t="s">
        <v>22</v>
      </c>
      <c r="B62" s="12">
        <v>2021</v>
      </c>
      <c r="C62" s="3">
        <v>3619010000000</v>
      </c>
      <c r="D62" s="3">
        <v>2121905000000</v>
      </c>
      <c r="E62" s="3">
        <f t="shared" si="0"/>
        <v>1497105000000</v>
      </c>
      <c r="F62" s="3">
        <v>31159291000000</v>
      </c>
      <c r="G62" s="15">
        <f t="shared" si="1"/>
        <v>4.8046824942197822E-2</v>
      </c>
      <c r="H62" s="16">
        <f t="shared" si="2"/>
        <v>3.2093156420022525E-14</v>
      </c>
      <c r="I62" s="3">
        <v>51696249000000</v>
      </c>
      <c r="J62" s="3">
        <v>42518782000000</v>
      </c>
      <c r="K62" s="3">
        <f t="shared" si="3"/>
        <v>9177467000000</v>
      </c>
      <c r="L62" s="15">
        <f t="shared" si="4"/>
        <v>0.29453388397059482</v>
      </c>
      <c r="M62" s="3">
        <v>16255596000000</v>
      </c>
      <c r="N62" s="15">
        <f t="shared" si="5"/>
        <v>0.52169338512869246</v>
      </c>
      <c r="O62" s="16">
        <v>0.11600000000000001</v>
      </c>
      <c r="P62" s="16">
        <v>0.25700000000000001</v>
      </c>
      <c r="Q62" s="16">
        <v>-0.25900000000000001</v>
      </c>
      <c r="R62" s="3">
        <f>1633874000000+9828000000+150656000000</f>
        <v>1794358000000</v>
      </c>
      <c r="S62" s="3">
        <f>1834984000000+6024000000+136978000000</f>
        <v>1977986000000</v>
      </c>
      <c r="T62" s="3">
        <f t="shared" si="6"/>
        <v>-183628000000</v>
      </c>
      <c r="U62" s="15">
        <f t="shared" si="7"/>
        <v>0.30042708609769075</v>
      </c>
      <c r="V62" s="16">
        <f t="shared" si="8"/>
        <v>3.722806144722613E-15</v>
      </c>
      <c r="W62" s="16">
        <f t="shared" si="9"/>
        <v>7.7209761127106522E-2</v>
      </c>
      <c r="X62" s="16">
        <f t="shared" si="10"/>
        <v>-0.13511858674833135</v>
      </c>
      <c r="Y62" s="15">
        <f t="shared" si="11"/>
        <v>-5.7908825621221113E-2</v>
      </c>
      <c r="Z62" s="47">
        <f t="shared" si="12"/>
        <v>0.10595565056341893</v>
      </c>
    </row>
    <row r="63" spans="1:26" x14ac:dyDescent="0.25">
      <c r="A63" s="2"/>
      <c r="B63" s="12">
        <v>2022</v>
      </c>
      <c r="C63" s="3">
        <v>2930357000000</v>
      </c>
      <c r="D63" s="3">
        <v>1673887000000</v>
      </c>
      <c r="E63" s="3">
        <f t="shared" si="0"/>
        <v>1256470000000</v>
      </c>
      <c r="F63" s="3">
        <v>35446051000000</v>
      </c>
      <c r="G63" s="15">
        <f t="shared" si="1"/>
        <v>3.5447390176129918E-2</v>
      </c>
      <c r="H63" s="16">
        <f t="shared" si="2"/>
        <v>2.8211887411661174E-14</v>
      </c>
      <c r="I63" s="3">
        <v>56867544000000</v>
      </c>
      <c r="J63" s="3">
        <v>51696249000000</v>
      </c>
      <c r="K63" s="3">
        <f t="shared" si="3"/>
        <v>5171295000000</v>
      </c>
      <c r="L63" s="15">
        <f t="shared" si="4"/>
        <v>0.14589199231248637</v>
      </c>
      <c r="M63" s="3">
        <v>17627978000000</v>
      </c>
      <c r="N63" s="15">
        <f t="shared" si="5"/>
        <v>0.49731853063124015</v>
      </c>
      <c r="O63" s="16">
        <v>0.11600000000000001</v>
      </c>
      <c r="P63" s="16">
        <v>0.25700000000000001</v>
      </c>
      <c r="Q63" s="16">
        <v>-0.25900000000000001</v>
      </c>
      <c r="R63" s="3">
        <f>1807854000000+12370000000+273614000000</f>
        <v>2093838000000</v>
      </c>
      <c r="S63" s="3">
        <f>1633874000000+9828000000+150656000000</f>
        <v>1794358000000</v>
      </c>
      <c r="T63" s="3">
        <f t="shared" si="6"/>
        <v>299480000000</v>
      </c>
      <c r="U63" s="15">
        <f t="shared" si="7"/>
        <v>0.1374430962704421</v>
      </c>
      <c r="V63" s="16">
        <f t="shared" si="8"/>
        <v>3.2725789397526963E-15</v>
      </c>
      <c r="W63" s="16">
        <f t="shared" si="9"/>
        <v>3.5322875741503619E-2</v>
      </c>
      <c r="X63" s="16">
        <f t="shared" si="10"/>
        <v>-0.12880549943349121</v>
      </c>
      <c r="Y63" s="15">
        <f t="shared" si="11"/>
        <v>-9.3482623691984318E-2</v>
      </c>
      <c r="Z63" s="47">
        <f t="shared" si="12"/>
        <v>0.12893001386811423</v>
      </c>
    </row>
    <row r="64" spans="1:26" x14ac:dyDescent="0.25">
      <c r="A64" s="2"/>
      <c r="B64" s="12">
        <v>2023</v>
      </c>
      <c r="C64" s="3">
        <v>2318088000000</v>
      </c>
      <c r="D64" s="3">
        <v>3146254000000</v>
      </c>
      <c r="E64" s="3">
        <f t="shared" ref="E64:E127" si="13">C64-D64</f>
        <v>-828166000000</v>
      </c>
      <c r="F64" s="3">
        <v>39847545000000</v>
      </c>
      <c r="G64" s="15">
        <f t="shared" ref="G64:G127" si="14">E64/F64</f>
        <v>-2.0783363190881646E-2</v>
      </c>
      <c r="H64" s="16">
        <f t="shared" ref="H64:H127" si="15">1/F64</f>
        <v>2.5095648928936525E-14</v>
      </c>
      <c r="I64" s="3">
        <v>61615850000000</v>
      </c>
      <c r="J64" s="3">
        <v>56867544000000</v>
      </c>
      <c r="K64" s="3">
        <f t="shared" ref="K64:K127" si="16">I64-J64</f>
        <v>4748306000000</v>
      </c>
      <c r="L64" s="15">
        <f t="shared" ref="L64:L127" si="17">K64/F64</f>
        <v>0.11916182038316288</v>
      </c>
      <c r="M64" s="3">
        <v>17690442000000</v>
      </c>
      <c r="N64" s="15">
        <f t="shared" ref="N64:N127" si="18">M64/F64</f>
        <v>0.44395312182971375</v>
      </c>
      <c r="O64" s="16">
        <v>0.11600000000000001</v>
      </c>
      <c r="P64" s="16">
        <v>0.25700000000000001</v>
      </c>
      <c r="Q64" s="16">
        <v>-0.25900000000000001</v>
      </c>
      <c r="R64" s="3">
        <f>1650437000000+57472000000+119548000000</f>
        <v>1827457000000</v>
      </c>
      <c r="S64" s="3">
        <f>1807854000000+12370000000+273614000000</f>
        <v>2093838000000</v>
      </c>
      <c r="T64" s="3">
        <f t="shared" ref="T64:T127" si="19">R64-S64</f>
        <v>-266381000000</v>
      </c>
      <c r="U64" s="15">
        <f t="shared" ref="U64:U127" si="20">(K64-T64)/F64</f>
        <v>0.12584682444050191</v>
      </c>
      <c r="V64" s="16">
        <f t="shared" ref="V64:V127" si="21">O64*H64</f>
        <v>2.9110952757566371E-15</v>
      </c>
      <c r="W64" s="16">
        <f t="shared" ref="W64:W127" si="22">P64*U64</f>
        <v>3.234263388120899E-2</v>
      </c>
      <c r="X64" s="16">
        <f t="shared" ref="X64:X127" si="23">Q64*N64</f>
        <v>-0.11498385855389587</v>
      </c>
      <c r="Y64" s="15">
        <f t="shared" ref="Y64:Y127" si="24">V64+W64+X64</f>
        <v>-8.2641224672683963E-2</v>
      </c>
      <c r="Z64" s="47">
        <f t="shared" ref="Z64:Z127" si="25">G64-Y64</f>
        <v>6.185786148180232E-2</v>
      </c>
    </row>
    <row r="65" spans="1:26" x14ac:dyDescent="0.25">
      <c r="A65" s="2" t="s">
        <v>23</v>
      </c>
      <c r="B65" s="12">
        <v>2021</v>
      </c>
      <c r="C65" s="3">
        <v>739649000000</v>
      </c>
      <c r="D65" s="3">
        <v>1055505000000</v>
      </c>
      <c r="E65" s="3">
        <f t="shared" si="13"/>
        <v>-315856000000</v>
      </c>
      <c r="F65" s="3">
        <v>14151383000000</v>
      </c>
      <c r="G65" s="15">
        <f t="shared" si="14"/>
        <v>-2.2319797294723772E-2</v>
      </c>
      <c r="H65" s="16">
        <f t="shared" si="15"/>
        <v>7.0664471451306208E-14</v>
      </c>
      <c r="I65" s="3">
        <v>7124495000000</v>
      </c>
      <c r="J65" s="3">
        <v>6698918000000</v>
      </c>
      <c r="K65" s="3">
        <f t="shared" si="16"/>
        <v>425577000000</v>
      </c>
      <c r="L65" s="15">
        <f t="shared" si="17"/>
        <v>3.0073173766832544E-2</v>
      </c>
      <c r="M65" s="3">
        <v>5921799000000</v>
      </c>
      <c r="N65" s="15">
        <f t="shared" si="18"/>
        <v>0.41846079637587363</v>
      </c>
      <c r="O65" s="16">
        <v>0.11600000000000001</v>
      </c>
      <c r="P65" s="16">
        <v>0.25700000000000001</v>
      </c>
      <c r="Q65" s="16">
        <v>-0.25900000000000001</v>
      </c>
      <c r="R65" s="3">
        <f>249662000000+19685000000</f>
        <v>269347000000</v>
      </c>
      <c r="S65" s="3">
        <f>381764000000+16137000000</f>
        <v>397901000000</v>
      </c>
      <c r="T65" s="3">
        <f t="shared" si="19"/>
        <v>-128554000000</v>
      </c>
      <c r="U65" s="15">
        <f t="shared" si="20"/>
        <v>3.9157374229783763E-2</v>
      </c>
      <c r="V65" s="16">
        <f t="shared" si="21"/>
        <v>8.1970786883515202E-15</v>
      </c>
      <c r="W65" s="16">
        <f t="shared" si="22"/>
        <v>1.0063445177054427E-2</v>
      </c>
      <c r="X65" s="16">
        <f t="shared" si="23"/>
        <v>-0.10838134626135128</v>
      </c>
      <c r="Y65" s="15">
        <f t="shared" si="24"/>
        <v>-9.8317901084288659E-2</v>
      </c>
      <c r="Z65" s="47">
        <f t="shared" si="25"/>
        <v>7.5998103789564883E-2</v>
      </c>
    </row>
    <row r="66" spans="1:26" x14ac:dyDescent="0.25">
      <c r="A66" s="2"/>
      <c r="B66" s="12">
        <v>2022</v>
      </c>
      <c r="C66" s="3">
        <v>1206587000000</v>
      </c>
      <c r="D66" s="3">
        <v>1538027000000</v>
      </c>
      <c r="E66" s="3">
        <f t="shared" si="13"/>
        <v>-331440000000</v>
      </c>
      <c r="F66" s="3">
        <v>13712160000000</v>
      </c>
      <c r="G66" s="15">
        <f t="shared" si="14"/>
        <v>-2.41712465432142E-2</v>
      </c>
      <c r="H66" s="16">
        <f t="shared" si="15"/>
        <v>7.292797050209449E-14</v>
      </c>
      <c r="I66" s="3">
        <v>9633671000000</v>
      </c>
      <c r="J66" s="3">
        <v>7124495000000</v>
      </c>
      <c r="K66" s="3">
        <f t="shared" si="16"/>
        <v>2509176000000</v>
      </c>
      <c r="L66" s="15">
        <f t="shared" si="17"/>
        <v>0.18298911331256346</v>
      </c>
      <c r="M66" s="3">
        <v>6678723000000</v>
      </c>
      <c r="N66" s="15">
        <f t="shared" si="18"/>
        <v>0.48706571393566001</v>
      </c>
      <c r="O66" s="16">
        <v>0.11600000000000001</v>
      </c>
      <c r="P66" s="16">
        <v>0.25700000000000001</v>
      </c>
      <c r="Q66" s="16">
        <v>-0.25900000000000001</v>
      </c>
      <c r="R66" s="3">
        <f>460430000000+18523000000</f>
        <v>478953000000</v>
      </c>
      <c r="S66" s="3">
        <f>249662000000+19685000000</f>
        <v>269347000000</v>
      </c>
      <c r="T66" s="3">
        <f t="shared" si="19"/>
        <v>209606000000</v>
      </c>
      <c r="U66" s="15">
        <f t="shared" si="20"/>
        <v>0.16770297312750143</v>
      </c>
      <c r="V66" s="16">
        <f t="shared" si="21"/>
        <v>8.4596445782429609E-15</v>
      </c>
      <c r="W66" s="16">
        <f t="shared" si="22"/>
        <v>4.3099664093767871E-2</v>
      </c>
      <c r="X66" s="16">
        <f t="shared" si="23"/>
        <v>-0.12615001990933594</v>
      </c>
      <c r="Y66" s="15">
        <f t="shared" si="24"/>
        <v>-8.3050355815559612E-2</v>
      </c>
      <c r="Z66" s="47">
        <f t="shared" si="25"/>
        <v>5.8879109272345409E-2</v>
      </c>
    </row>
    <row r="67" spans="1:26" x14ac:dyDescent="0.25">
      <c r="A67" s="2"/>
      <c r="B67" s="12">
        <v>2023</v>
      </c>
      <c r="C67" s="3">
        <v>841665000000</v>
      </c>
      <c r="D67" s="3">
        <v>1874372000000</v>
      </c>
      <c r="E67" s="3">
        <f t="shared" si="13"/>
        <v>-1032707000000</v>
      </c>
      <c r="F67" s="3">
        <v>15357229000000</v>
      </c>
      <c r="G67" s="15">
        <f t="shared" si="14"/>
        <v>-6.7245660008065256E-2</v>
      </c>
      <c r="H67" s="16">
        <f t="shared" si="15"/>
        <v>6.5115913814920643E-14</v>
      </c>
      <c r="I67" s="3">
        <v>9498749000000</v>
      </c>
      <c r="J67" s="3">
        <v>9633671000000</v>
      </c>
      <c r="K67" s="3">
        <f t="shared" si="16"/>
        <v>-134922000000</v>
      </c>
      <c r="L67" s="15">
        <f t="shared" si="17"/>
        <v>-8.7855693237367232E-3</v>
      </c>
      <c r="M67" s="3">
        <v>7466649000000</v>
      </c>
      <c r="N67" s="15">
        <f t="shared" si="18"/>
        <v>0.48619767277026343</v>
      </c>
      <c r="O67" s="16">
        <v>0.11600000000000001</v>
      </c>
      <c r="P67" s="16">
        <v>0.25700000000000001</v>
      </c>
      <c r="Q67" s="16">
        <v>-0.25900000000000001</v>
      </c>
      <c r="R67" s="3">
        <f>368754000000+16458000000</f>
        <v>385212000000</v>
      </c>
      <c r="S67" s="3">
        <f>460430000000+18523000000</f>
        <v>478953000000</v>
      </c>
      <c r="T67" s="3">
        <f t="shared" si="19"/>
        <v>-93741000000</v>
      </c>
      <c r="U67" s="15">
        <f t="shared" si="20"/>
        <v>-2.6815384468122472E-3</v>
      </c>
      <c r="V67" s="16">
        <f t="shared" si="21"/>
        <v>7.5534460025307948E-15</v>
      </c>
      <c r="W67" s="16">
        <f t="shared" si="22"/>
        <v>-6.8915538083074758E-4</v>
      </c>
      <c r="X67" s="16">
        <f t="shared" si="23"/>
        <v>-0.12592519724749823</v>
      </c>
      <c r="Y67" s="15">
        <f t="shared" si="24"/>
        <v>-0.12661435262832144</v>
      </c>
      <c r="Z67" s="47">
        <f t="shared" si="25"/>
        <v>5.936869262025618E-2</v>
      </c>
    </row>
    <row r="68" spans="1:26" x14ac:dyDescent="0.25">
      <c r="A68" s="2" t="s">
        <v>24</v>
      </c>
      <c r="B68" s="12">
        <v>2021</v>
      </c>
      <c r="C68" s="3">
        <v>7137097000000</v>
      </c>
      <c r="D68" s="3">
        <v>10302406000000</v>
      </c>
      <c r="E68" s="3">
        <f t="shared" si="13"/>
        <v>-3165309000000</v>
      </c>
      <c r="F68" s="3">
        <v>49674030000000</v>
      </c>
      <c r="G68" s="15">
        <f t="shared" si="14"/>
        <v>-6.3721606642344095E-2</v>
      </c>
      <c r="H68" s="16">
        <f t="shared" si="15"/>
        <v>2.0131243629719595E-14</v>
      </c>
      <c r="I68" s="3">
        <v>98874784000000</v>
      </c>
      <c r="J68" s="3">
        <v>92425210000000</v>
      </c>
      <c r="K68" s="3">
        <f t="shared" si="16"/>
        <v>6449574000000</v>
      </c>
      <c r="L68" s="15">
        <f t="shared" si="17"/>
        <v>0.12983794550190511</v>
      </c>
      <c r="M68" s="3">
        <v>6038643000000</v>
      </c>
      <c r="N68" s="15">
        <f t="shared" si="18"/>
        <v>0.12156539342590082</v>
      </c>
      <c r="O68" s="16">
        <v>0.11600000000000001</v>
      </c>
      <c r="P68" s="16">
        <v>0.25700000000000001</v>
      </c>
      <c r="Q68" s="16">
        <v>-0.25900000000000001</v>
      </c>
      <c r="R68" s="3">
        <f>2175531000000+205262000000+489408000000+26398000000</f>
        <v>2896599000000</v>
      </c>
      <c r="S68" s="3">
        <f>3507586000000+140736000000+450703000000+2489000000</f>
        <v>4101514000000</v>
      </c>
      <c r="T68" s="3">
        <f t="shared" si="19"/>
        <v>-1204915000000</v>
      </c>
      <c r="U68" s="15">
        <f t="shared" si="20"/>
        <v>0.15409438292000871</v>
      </c>
      <c r="V68" s="16">
        <f t="shared" si="21"/>
        <v>2.3352242610474733E-15</v>
      </c>
      <c r="W68" s="16">
        <f t="shared" si="22"/>
        <v>3.9602256410442238E-2</v>
      </c>
      <c r="X68" s="16">
        <f t="shared" si="23"/>
        <v>-3.1485436897308317E-2</v>
      </c>
      <c r="Y68" s="15">
        <f t="shared" si="24"/>
        <v>8.11681951313626E-3</v>
      </c>
      <c r="Z68" s="47">
        <f t="shared" si="25"/>
        <v>-7.1838426155480362E-2</v>
      </c>
    </row>
    <row r="69" spans="1:26" x14ac:dyDescent="0.25">
      <c r="A69" s="2"/>
      <c r="B69" s="12">
        <v>2022</v>
      </c>
      <c r="C69" s="3">
        <v>6323744000000</v>
      </c>
      <c r="D69" s="3">
        <v>7355336000000</v>
      </c>
      <c r="E69" s="3">
        <f t="shared" si="13"/>
        <v>-1031592000000</v>
      </c>
      <c r="F69" s="3">
        <v>53090428000000</v>
      </c>
      <c r="G69" s="15">
        <f t="shared" si="14"/>
        <v>-1.9430847308294443E-2</v>
      </c>
      <c r="H69" s="16">
        <f t="shared" si="15"/>
        <v>1.8835787121550424E-14</v>
      </c>
      <c r="I69" s="3">
        <v>111211321000000</v>
      </c>
      <c r="J69" s="3">
        <v>98874784000000</v>
      </c>
      <c r="K69" s="3">
        <f t="shared" si="16"/>
        <v>12336537000000</v>
      </c>
      <c r="L69" s="15">
        <f t="shared" si="17"/>
        <v>0.2323683847491303</v>
      </c>
      <c r="M69" s="3">
        <v>6697429000000</v>
      </c>
      <c r="N69" s="15">
        <f t="shared" si="18"/>
        <v>0.12615134690569832</v>
      </c>
      <c r="O69" s="16">
        <v>0.11600000000000001</v>
      </c>
      <c r="P69" s="16">
        <v>0.25700000000000001</v>
      </c>
      <c r="Q69" s="16">
        <v>-0.25900000000000001</v>
      </c>
      <c r="R69" s="3">
        <f>2843594000000+102133000000+259687000000+188471000000</f>
        <v>3393885000000</v>
      </c>
      <c r="S69" s="3">
        <f>2175531000000+205262000000+489408000000+26398000000</f>
        <v>2896599000000</v>
      </c>
      <c r="T69" s="3">
        <f t="shared" si="19"/>
        <v>497286000000</v>
      </c>
      <c r="U69" s="15">
        <f t="shared" si="20"/>
        <v>0.22300161151460296</v>
      </c>
      <c r="V69" s="16">
        <f t="shared" si="21"/>
        <v>2.1849513060998491E-15</v>
      </c>
      <c r="W69" s="16">
        <f t="shared" si="22"/>
        <v>5.7311414159252963E-2</v>
      </c>
      <c r="X69" s="16">
        <f t="shared" si="23"/>
        <v>-3.2673198848575863E-2</v>
      </c>
      <c r="Y69" s="15">
        <f t="shared" si="24"/>
        <v>2.4638215310679286E-2</v>
      </c>
      <c r="Z69" s="47">
        <f t="shared" si="25"/>
        <v>-4.4069062618973726E-2</v>
      </c>
    </row>
    <row r="70" spans="1:26" x14ac:dyDescent="0.25">
      <c r="A70" s="2"/>
      <c r="B70" s="12">
        <v>2023</v>
      </c>
      <c r="C70" s="3">
        <v>8096811000000</v>
      </c>
      <c r="D70" s="3">
        <v>6282144000000</v>
      </c>
      <c r="E70" s="3">
        <f t="shared" si="13"/>
        <v>1814667000000</v>
      </c>
      <c r="F70" s="3">
        <v>54786992000000</v>
      </c>
      <c r="G70" s="15">
        <f t="shared" si="14"/>
        <v>3.3122223611035263E-2</v>
      </c>
      <c r="H70" s="16">
        <f t="shared" si="15"/>
        <v>1.8252507821564653E-14</v>
      </c>
      <c r="I70" s="3">
        <v>115983384000000</v>
      </c>
      <c r="J70" s="3">
        <v>111211321000000</v>
      </c>
      <c r="K70" s="3">
        <f t="shared" si="16"/>
        <v>4772063000000</v>
      </c>
      <c r="L70" s="15">
        <f t="shared" si="17"/>
        <v>8.7102117232499277E-2</v>
      </c>
      <c r="M70" s="3">
        <v>9253277000000</v>
      </c>
      <c r="N70" s="15">
        <f t="shared" si="18"/>
        <v>0.16889551081760429</v>
      </c>
      <c r="O70" s="16">
        <v>0.11600000000000001</v>
      </c>
      <c r="P70" s="16">
        <v>0.25700000000000001</v>
      </c>
      <c r="Q70" s="16">
        <v>-0.25900000000000001</v>
      </c>
      <c r="R70" s="3">
        <f>3148041000000+136660000000+235475000000+91553000000</f>
        <v>3611729000000</v>
      </c>
      <c r="S70" s="3">
        <f>2843594000000+102133000000+259687000000+188471000000</f>
        <v>3393885000000</v>
      </c>
      <c r="T70" s="3">
        <f t="shared" si="19"/>
        <v>217844000000</v>
      </c>
      <c r="U70" s="15">
        <f t="shared" si="20"/>
        <v>8.3125917918618342E-2</v>
      </c>
      <c r="V70" s="16">
        <f t="shared" si="21"/>
        <v>2.1172909073014997E-15</v>
      </c>
      <c r="W70" s="16">
        <f t="shared" si="22"/>
        <v>2.1363360905084915E-2</v>
      </c>
      <c r="X70" s="16">
        <f t="shared" si="23"/>
        <v>-4.374393730175951E-2</v>
      </c>
      <c r="Y70" s="15">
        <f t="shared" si="24"/>
        <v>-2.2380576396672479E-2</v>
      </c>
      <c r="Z70" s="47">
        <f t="shared" si="25"/>
        <v>5.5502800007707742E-2</v>
      </c>
    </row>
    <row r="71" spans="1:26" x14ac:dyDescent="0.25">
      <c r="A71" s="2" t="s">
        <v>25</v>
      </c>
      <c r="B71" s="12">
        <v>2021</v>
      </c>
      <c r="C71" s="3">
        <v>7911943000000</v>
      </c>
      <c r="D71" s="3">
        <v>7989039000000</v>
      </c>
      <c r="E71" s="3">
        <f t="shared" si="13"/>
        <v>-77096000000</v>
      </c>
      <c r="F71" s="3">
        <v>103588325000000</v>
      </c>
      <c r="G71" s="15">
        <f t="shared" si="14"/>
        <v>-7.4425375639581009E-4</v>
      </c>
      <c r="H71" s="16">
        <f t="shared" si="15"/>
        <v>9.6535975458624318E-15</v>
      </c>
      <c r="I71" s="3">
        <v>56803733000000</v>
      </c>
      <c r="J71" s="3">
        <v>46641048000000</v>
      </c>
      <c r="K71" s="3">
        <f t="shared" si="16"/>
        <v>10162685000000</v>
      </c>
      <c r="L71" s="15">
        <f t="shared" si="17"/>
        <v>9.810647097537295E-2</v>
      </c>
      <c r="M71" s="3">
        <v>14175833000000</v>
      </c>
      <c r="N71" s="15">
        <f t="shared" si="18"/>
        <v>0.13684778665935568</v>
      </c>
      <c r="O71" s="16">
        <v>0.11600000000000001</v>
      </c>
      <c r="P71" s="16">
        <v>0.25700000000000001</v>
      </c>
      <c r="Q71" s="16">
        <v>-0.25900000000000001</v>
      </c>
      <c r="R71" s="3">
        <f>3066583000000+3334347000000+47505000000+385846000000</f>
        <v>6834281000000</v>
      </c>
      <c r="S71" s="3">
        <f>2380015000000+2893401000000+59349000000+413990000000</f>
        <v>5746755000000</v>
      </c>
      <c r="T71" s="3">
        <f t="shared" si="19"/>
        <v>1087526000000</v>
      </c>
      <c r="U71" s="15">
        <f t="shared" si="20"/>
        <v>8.7607932650711359E-2</v>
      </c>
      <c r="V71" s="16">
        <f t="shared" si="21"/>
        <v>1.1198173153200421E-15</v>
      </c>
      <c r="W71" s="16">
        <f t="shared" si="22"/>
        <v>2.2515238691232821E-2</v>
      </c>
      <c r="X71" s="16">
        <f t="shared" si="23"/>
        <v>-3.5443576744773123E-2</v>
      </c>
      <c r="Y71" s="15">
        <f t="shared" si="24"/>
        <v>-1.2928338053539181E-2</v>
      </c>
      <c r="Z71" s="47">
        <f t="shared" si="25"/>
        <v>1.218408429714337E-2</v>
      </c>
    </row>
    <row r="72" spans="1:26" x14ac:dyDescent="0.25">
      <c r="A72" s="2"/>
      <c r="B72" s="12">
        <v>2022</v>
      </c>
      <c r="C72" s="3">
        <v>5722194000000</v>
      </c>
      <c r="D72" s="3">
        <v>8804494000000</v>
      </c>
      <c r="E72" s="3">
        <f t="shared" si="13"/>
        <v>-3082300000000</v>
      </c>
      <c r="F72" s="3">
        <v>118015311000000</v>
      </c>
      <c r="G72" s="15">
        <f t="shared" si="14"/>
        <v>-2.6117797545777768E-2</v>
      </c>
      <c r="H72" s="16">
        <f t="shared" si="15"/>
        <v>8.4734768016668611E-15</v>
      </c>
      <c r="I72" s="3">
        <v>64797516000000</v>
      </c>
      <c r="J72" s="3">
        <v>56803733000000</v>
      </c>
      <c r="K72" s="3">
        <f t="shared" si="16"/>
        <v>7993783000000</v>
      </c>
      <c r="L72" s="15">
        <f t="shared" si="17"/>
        <v>6.7735134808058928E-2</v>
      </c>
      <c r="M72" s="3">
        <v>14520941000000</v>
      </c>
      <c r="N72" s="15">
        <f t="shared" si="18"/>
        <v>0.1230428567018732</v>
      </c>
      <c r="O72" s="16">
        <v>0.11600000000000001</v>
      </c>
      <c r="P72" s="16">
        <v>0.25700000000000001</v>
      </c>
      <c r="Q72" s="16">
        <v>-0.25900000000000001</v>
      </c>
      <c r="R72" s="3">
        <f>3507566000000+3367938000000+120459000000+232201000000</f>
        <v>7228164000000</v>
      </c>
      <c r="S72" s="3">
        <f>3066583000000+3334347000000+47505000000+385846000000</f>
        <v>6834281000000</v>
      </c>
      <c r="T72" s="3">
        <f t="shared" si="19"/>
        <v>393883000000</v>
      </c>
      <c r="U72" s="15">
        <f t="shared" si="20"/>
        <v>6.4397576344987981E-2</v>
      </c>
      <c r="V72" s="16">
        <f t="shared" si="21"/>
        <v>9.829233089933559E-16</v>
      </c>
      <c r="W72" s="16">
        <f t="shared" si="22"/>
        <v>1.655017712066191E-2</v>
      </c>
      <c r="X72" s="16">
        <f t="shared" si="23"/>
        <v>-3.1868099885785164E-2</v>
      </c>
      <c r="Y72" s="15">
        <f t="shared" si="24"/>
        <v>-1.5317922765122272E-2</v>
      </c>
      <c r="Z72" s="47">
        <f t="shared" si="25"/>
        <v>-1.0799874780655496E-2</v>
      </c>
    </row>
    <row r="73" spans="1:26" x14ac:dyDescent="0.25">
      <c r="A73" s="2"/>
      <c r="B73" s="12">
        <v>2023</v>
      </c>
      <c r="C73" s="3">
        <v>8465123000000</v>
      </c>
      <c r="D73" s="3">
        <v>12415005000000</v>
      </c>
      <c r="E73" s="3">
        <f t="shared" si="13"/>
        <v>-3949882000000</v>
      </c>
      <c r="F73" s="3">
        <v>115305536000000</v>
      </c>
      <c r="G73" s="15">
        <f t="shared" si="14"/>
        <v>-3.4255788030853954E-2</v>
      </c>
      <c r="H73" s="16">
        <f t="shared" si="15"/>
        <v>8.6726104807318178E-15</v>
      </c>
      <c r="I73" s="3">
        <v>67909901000000</v>
      </c>
      <c r="J73" s="3">
        <v>64797516000000</v>
      </c>
      <c r="K73" s="3">
        <f t="shared" si="16"/>
        <v>3112385000000</v>
      </c>
      <c r="L73" s="15">
        <f t="shared" si="17"/>
        <v>2.6992502771072499E-2</v>
      </c>
      <c r="M73" s="3">
        <v>14710911000000</v>
      </c>
      <c r="N73" s="15">
        <f t="shared" si="18"/>
        <v>0.127582000919713</v>
      </c>
      <c r="O73" s="16">
        <v>0.11600000000000001</v>
      </c>
      <c r="P73" s="16">
        <v>0.25700000000000001</v>
      </c>
      <c r="Q73" s="16">
        <v>-0.25900000000000001</v>
      </c>
      <c r="R73" s="3">
        <f>3836684000000+3361474000000+112627000000+213623000000</f>
        <v>7524408000000</v>
      </c>
      <c r="S73" s="3">
        <f>3507566000000+3367938000000+120459000000+232201000000</f>
        <v>7228164000000</v>
      </c>
      <c r="T73" s="3">
        <f t="shared" si="19"/>
        <v>296244000000</v>
      </c>
      <c r="U73" s="15">
        <f t="shared" si="20"/>
        <v>2.4423293951818584E-2</v>
      </c>
      <c r="V73" s="16">
        <f t="shared" si="21"/>
        <v>1.006022815764891E-15</v>
      </c>
      <c r="W73" s="16">
        <f t="shared" si="22"/>
        <v>6.2767865456173763E-3</v>
      </c>
      <c r="X73" s="16">
        <f t="shared" si="23"/>
        <v>-3.3043738238205667E-2</v>
      </c>
      <c r="Y73" s="15">
        <f t="shared" si="24"/>
        <v>-2.6766951692587283E-2</v>
      </c>
      <c r="Z73" s="47">
        <f t="shared" si="25"/>
        <v>-7.4888363382666703E-3</v>
      </c>
    </row>
    <row r="74" spans="1:26" x14ac:dyDescent="0.25">
      <c r="A74" s="2" t="s">
        <v>26</v>
      </c>
      <c r="B74" s="12">
        <v>2021</v>
      </c>
      <c r="C74" s="3">
        <v>11229695000000</v>
      </c>
      <c r="D74" s="3">
        <v>14692641000000</v>
      </c>
      <c r="E74" s="3">
        <f t="shared" si="13"/>
        <v>-3462946000000</v>
      </c>
      <c r="F74" s="3">
        <v>163136516000000</v>
      </c>
      <c r="G74" s="15">
        <f t="shared" si="14"/>
        <v>-2.1227289174178515E-2</v>
      </c>
      <c r="H74" s="16">
        <f t="shared" si="15"/>
        <v>6.1298354563364584E-15</v>
      </c>
      <c r="I74" s="3">
        <v>99345618000000</v>
      </c>
      <c r="J74" s="3">
        <v>81731469000000</v>
      </c>
      <c r="K74" s="3">
        <f t="shared" si="16"/>
        <v>17614149000000</v>
      </c>
      <c r="L74" s="15">
        <f t="shared" si="17"/>
        <v>0.10797183507339338</v>
      </c>
      <c r="M74" s="3">
        <v>46751821000000</v>
      </c>
      <c r="N74" s="15">
        <f t="shared" si="18"/>
        <v>0.28658097001409544</v>
      </c>
      <c r="O74" s="16">
        <v>0.11600000000000001</v>
      </c>
      <c r="P74" s="16">
        <v>0.25700000000000001</v>
      </c>
      <c r="Q74" s="16">
        <v>-0.25900000000000001</v>
      </c>
      <c r="R74" s="3">
        <f>6230066000000+1395975000000+194078000000+644187000000</f>
        <v>8464306000000</v>
      </c>
      <c r="S74" s="3">
        <f>5315611000000+1113519000000+420935000000+601605000000</f>
        <v>7451670000000</v>
      </c>
      <c r="T74" s="3">
        <f t="shared" si="19"/>
        <v>1012636000000</v>
      </c>
      <c r="U74" s="15">
        <f t="shared" si="20"/>
        <v>0.10176454301623065</v>
      </c>
      <c r="V74" s="16">
        <f t="shared" si="21"/>
        <v>7.1106091293502917E-16</v>
      </c>
      <c r="W74" s="16">
        <f t="shared" si="22"/>
        <v>2.615348755517128E-2</v>
      </c>
      <c r="X74" s="16">
        <f t="shared" si="23"/>
        <v>-7.4224471233650724E-2</v>
      </c>
      <c r="Y74" s="15">
        <f t="shared" si="24"/>
        <v>-4.8070983678478729E-2</v>
      </c>
      <c r="Z74" s="47">
        <f t="shared" si="25"/>
        <v>2.6843694504300214E-2</v>
      </c>
    </row>
    <row r="75" spans="1:26" x14ac:dyDescent="0.25">
      <c r="A75" s="2"/>
      <c r="B75" s="12">
        <v>2022</v>
      </c>
      <c r="C75" s="3">
        <v>9192569000000</v>
      </c>
      <c r="D75" s="3">
        <v>13587686000000</v>
      </c>
      <c r="E75" s="3">
        <f t="shared" si="13"/>
        <v>-4395117000000</v>
      </c>
      <c r="F75" s="3">
        <v>179271840000000</v>
      </c>
      <c r="G75" s="15">
        <f t="shared" si="14"/>
        <v>-2.4516494057293104E-2</v>
      </c>
      <c r="H75" s="16">
        <f t="shared" si="15"/>
        <v>5.5781209140264303E-15</v>
      </c>
      <c r="I75" s="3">
        <v>110830272000000</v>
      </c>
      <c r="J75" s="3">
        <v>99345618000000</v>
      </c>
      <c r="K75" s="3">
        <f t="shared" si="16"/>
        <v>11484654000000</v>
      </c>
      <c r="L75" s="15">
        <f t="shared" si="17"/>
        <v>6.4062788667757303E-2</v>
      </c>
      <c r="M75" s="3">
        <v>47410528000000</v>
      </c>
      <c r="N75" s="15">
        <f t="shared" si="18"/>
        <v>0.26446165778183567</v>
      </c>
      <c r="O75" s="16">
        <v>0.11600000000000001</v>
      </c>
      <c r="P75" s="16">
        <v>0.25700000000000001</v>
      </c>
      <c r="Q75" s="16">
        <v>-0.25900000000000001</v>
      </c>
      <c r="R75" s="3">
        <f>6805535000000+1475001000000+301972000000+418341000000</f>
        <v>9000849000000</v>
      </c>
      <c r="S75" s="3">
        <f>6230066000000+1395975000000+194078000000+644187000000</f>
        <v>8464306000000</v>
      </c>
      <c r="T75" s="3">
        <f t="shared" si="19"/>
        <v>536543000000</v>
      </c>
      <c r="U75" s="15">
        <f t="shared" si="20"/>
        <v>6.106988693818282E-2</v>
      </c>
      <c r="V75" s="16">
        <f t="shared" si="21"/>
        <v>6.4706202602706597E-16</v>
      </c>
      <c r="W75" s="16">
        <f t="shared" si="22"/>
        <v>1.5694960943112984E-2</v>
      </c>
      <c r="X75" s="16">
        <f t="shared" si="23"/>
        <v>-6.8495569365495446E-2</v>
      </c>
      <c r="Y75" s="15">
        <f t="shared" si="24"/>
        <v>-5.2800608422381809E-2</v>
      </c>
      <c r="Z75" s="47">
        <f t="shared" si="25"/>
        <v>2.8284114365088705E-2</v>
      </c>
    </row>
    <row r="76" spans="1:26" x14ac:dyDescent="0.25">
      <c r="A76" s="2"/>
      <c r="B76" s="12">
        <v>2023</v>
      </c>
      <c r="C76" s="3">
        <v>11493733000000</v>
      </c>
      <c r="D76" s="3">
        <v>18460624000000</v>
      </c>
      <c r="E76" s="3">
        <f t="shared" si="13"/>
        <v>-6966891000000</v>
      </c>
      <c r="F76" s="3">
        <v>180433300000000</v>
      </c>
      <c r="G76" s="15">
        <f t="shared" si="14"/>
        <v>-3.8612002329946854E-2</v>
      </c>
      <c r="H76" s="16">
        <f t="shared" si="15"/>
        <v>5.5422142143384839E-15</v>
      </c>
      <c r="I76" s="3">
        <v>111703611000000</v>
      </c>
      <c r="J76" s="3">
        <v>110830272000000</v>
      </c>
      <c r="K76" s="3">
        <f t="shared" si="16"/>
        <v>873339000000</v>
      </c>
      <c r="L76" s="15">
        <f t="shared" si="17"/>
        <v>4.840231819736157E-3</v>
      </c>
      <c r="M76" s="3">
        <v>47295092000000</v>
      </c>
      <c r="N76" s="15">
        <f t="shared" si="18"/>
        <v>0.2621195311508463</v>
      </c>
      <c r="O76" s="16">
        <v>0.11600000000000001</v>
      </c>
      <c r="P76" s="16">
        <v>0.25700000000000001</v>
      </c>
      <c r="Q76" s="16">
        <v>-0.25900000000000001</v>
      </c>
      <c r="R76" s="3">
        <f>6827850000000+1150616000000+282876000000+412658000000</f>
        <v>8674000000000</v>
      </c>
      <c r="S76" s="3">
        <f>6805535000000+1475001000000+301972000000+418341000000</f>
        <v>9000849000000</v>
      </c>
      <c r="T76" s="3">
        <f t="shared" si="19"/>
        <v>-326849000000</v>
      </c>
      <c r="U76" s="15">
        <f t="shared" si="20"/>
        <v>6.6516989934784767E-3</v>
      </c>
      <c r="V76" s="16">
        <f t="shared" si="21"/>
        <v>6.4289684886326418E-16</v>
      </c>
      <c r="W76" s="16">
        <f t="shared" si="22"/>
        <v>1.7094866413239686E-3</v>
      </c>
      <c r="X76" s="16">
        <f t="shared" si="23"/>
        <v>-6.7888958568069188E-2</v>
      </c>
      <c r="Y76" s="15">
        <f t="shared" si="24"/>
        <v>-6.6179471926744574E-2</v>
      </c>
      <c r="Z76" s="47">
        <f t="shared" si="25"/>
        <v>2.756746959679772E-2</v>
      </c>
    </row>
    <row r="77" spans="1:26" x14ac:dyDescent="0.25">
      <c r="A77" s="2" t="s">
        <v>27</v>
      </c>
      <c r="B77" s="12">
        <v>2021</v>
      </c>
      <c r="C77" s="3">
        <v>2130896000000</v>
      </c>
      <c r="D77" s="3">
        <v>701246000000</v>
      </c>
      <c r="E77" s="3">
        <f t="shared" si="13"/>
        <v>1429650000000</v>
      </c>
      <c r="F77" s="3">
        <v>25951760000000</v>
      </c>
      <c r="G77" s="15">
        <f t="shared" si="14"/>
        <v>5.5088749279432303E-2</v>
      </c>
      <c r="H77" s="16">
        <f t="shared" si="15"/>
        <v>3.8533032056400031E-14</v>
      </c>
      <c r="I77" s="3">
        <v>44878300000000</v>
      </c>
      <c r="J77" s="3">
        <v>36964948000000</v>
      </c>
      <c r="K77" s="3">
        <f t="shared" si="16"/>
        <v>7913352000000</v>
      </c>
      <c r="L77" s="15">
        <f t="shared" si="17"/>
        <v>0.3049254462895773</v>
      </c>
      <c r="M77" s="3">
        <v>11509654000000</v>
      </c>
      <c r="N77" s="15">
        <f t="shared" si="18"/>
        <v>0.44350186654007279</v>
      </c>
      <c r="O77" s="16">
        <v>0.11600000000000001</v>
      </c>
      <c r="P77" s="16">
        <v>0.25700000000000001</v>
      </c>
      <c r="Q77" s="16">
        <v>-0.25900000000000001</v>
      </c>
      <c r="R77" s="3">
        <f>25616000000+2322193000000+526000000+80206000000</f>
        <v>2428541000000</v>
      </c>
      <c r="S77" s="3">
        <f>12674000000+1867342000000+3066000000+99249000000</f>
        <v>1982331000000</v>
      </c>
      <c r="T77" s="3">
        <f t="shared" si="19"/>
        <v>446210000000</v>
      </c>
      <c r="U77" s="15">
        <f t="shared" si="20"/>
        <v>0.28773162205569103</v>
      </c>
      <c r="V77" s="16">
        <f t="shared" si="21"/>
        <v>4.4698317185424035E-15</v>
      </c>
      <c r="W77" s="16">
        <f t="shared" si="22"/>
        <v>7.3947026868312601E-2</v>
      </c>
      <c r="X77" s="16">
        <f t="shared" si="23"/>
        <v>-0.11486698343387886</v>
      </c>
      <c r="Y77" s="15">
        <f t="shared" si="24"/>
        <v>-4.0919956565561785E-2</v>
      </c>
      <c r="Z77" s="47">
        <f t="shared" si="25"/>
        <v>9.6008705844994088E-2</v>
      </c>
    </row>
    <row r="78" spans="1:26" x14ac:dyDescent="0.25">
      <c r="A78" s="2"/>
      <c r="B78" s="12">
        <v>2022</v>
      </c>
      <c r="C78" s="3">
        <v>1490931000000</v>
      </c>
      <c r="D78" s="3">
        <v>1426749000000</v>
      </c>
      <c r="E78" s="3">
        <f t="shared" si="13"/>
        <v>64182000000</v>
      </c>
      <c r="F78" s="3">
        <v>28589656000000</v>
      </c>
      <c r="G78" s="15">
        <f t="shared" si="14"/>
        <v>2.2449378194686919E-3</v>
      </c>
      <c r="H78" s="16">
        <f t="shared" si="15"/>
        <v>3.4977685635671867E-14</v>
      </c>
      <c r="I78" s="3">
        <v>48972085000000</v>
      </c>
      <c r="J78" s="3">
        <v>44878300000000</v>
      </c>
      <c r="K78" s="3">
        <f t="shared" si="16"/>
        <v>4093785000000</v>
      </c>
      <c r="L78" s="15">
        <f t="shared" si="17"/>
        <v>0.14319112479002896</v>
      </c>
      <c r="M78" s="3">
        <v>12497177000000</v>
      </c>
      <c r="N78" s="15">
        <f t="shared" si="18"/>
        <v>0.43712232843934884</v>
      </c>
      <c r="O78" s="16">
        <v>0.11600000000000001</v>
      </c>
      <c r="P78" s="16">
        <v>0.25700000000000001</v>
      </c>
      <c r="Q78" s="16">
        <v>-0.25900000000000001</v>
      </c>
      <c r="R78" s="3">
        <f>18976000000+2386274000000+1937000000+88874000000</f>
        <v>2496061000000</v>
      </c>
      <c r="S78" s="3">
        <f>25616000000+2322193000000+526000000+80206000000</f>
        <v>2428541000000</v>
      </c>
      <c r="T78" s="3">
        <f t="shared" si="19"/>
        <v>67520000000</v>
      </c>
      <c r="U78" s="15">
        <f t="shared" si="20"/>
        <v>0.1408294314559084</v>
      </c>
      <c r="V78" s="16">
        <f t="shared" si="21"/>
        <v>4.0574115337379365E-15</v>
      </c>
      <c r="W78" s="16">
        <f t="shared" si="22"/>
        <v>3.6193163884168461E-2</v>
      </c>
      <c r="X78" s="16">
        <f t="shared" si="23"/>
        <v>-0.11321468306579135</v>
      </c>
      <c r="Y78" s="15">
        <f t="shared" si="24"/>
        <v>-7.7021519181618842E-2</v>
      </c>
      <c r="Z78" s="47">
        <f t="shared" si="25"/>
        <v>7.9266457001087531E-2</v>
      </c>
    </row>
    <row r="79" spans="1:26" x14ac:dyDescent="0.25">
      <c r="A79" s="2"/>
      <c r="B79" s="12">
        <v>2023</v>
      </c>
      <c r="C79" s="3">
        <v>945922000000</v>
      </c>
      <c r="D79" s="3">
        <v>2371932000000</v>
      </c>
      <c r="E79" s="3">
        <f t="shared" si="13"/>
        <v>-1426010000000</v>
      </c>
      <c r="F79" s="3">
        <v>32690887000000</v>
      </c>
      <c r="G79" s="15">
        <f t="shared" si="14"/>
        <v>-4.3621025027555847E-2</v>
      </c>
      <c r="H79" s="16">
        <f t="shared" si="15"/>
        <v>3.0589564608632368E-14</v>
      </c>
      <c r="I79" s="3">
        <v>51175898000000</v>
      </c>
      <c r="J79" s="3">
        <v>48972085000000</v>
      </c>
      <c r="K79" s="3">
        <f t="shared" si="16"/>
        <v>2203813000000</v>
      </c>
      <c r="L79" s="15">
        <f t="shared" si="17"/>
        <v>6.7413680148843927E-2</v>
      </c>
      <c r="M79" s="3">
        <v>13395156000000</v>
      </c>
      <c r="N79" s="15">
        <f t="shared" si="18"/>
        <v>0.40975198990470951</v>
      </c>
      <c r="O79" s="16">
        <v>0.11600000000000001</v>
      </c>
      <c r="P79" s="16">
        <v>0.25700000000000001</v>
      </c>
      <c r="Q79" s="16">
        <v>-0.25900000000000001</v>
      </c>
      <c r="R79" s="3">
        <f>13766000000+2442372000000+7337000000+122283000000</f>
        <v>2585758000000</v>
      </c>
      <c r="S79" s="3">
        <f>18976000000+2386274000000+1937000000+88874000000</f>
        <v>2496061000000</v>
      </c>
      <c r="T79" s="3">
        <f t="shared" si="19"/>
        <v>89697000000</v>
      </c>
      <c r="U79" s="15">
        <f t="shared" si="20"/>
        <v>6.4669887972143431E-2</v>
      </c>
      <c r="V79" s="16">
        <f t="shared" si="21"/>
        <v>3.5483894946013548E-15</v>
      </c>
      <c r="W79" s="16">
        <f t="shared" si="22"/>
        <v>1.6620161208840863E-2</v>
      </c>
      <c r="X79" s="16">
        <f t="shared" si="23"/>
        <v>-0.10612576538531977</v>
      </c>
      <c r="Y79" s="15">
        <f t="shared" si="24"/>
        <v>-8.9505604176475365E-2</v>
      </c>
      <c r="Z79" s="47">
        <f t="shared" si="25"/>
        <v>4.5884579148919517E-2</v>
      </c>
    </row>
    <row r="80" spans="1:26" x14ac:dyDescent="0.25">
      <c r="A80" s="2" t="s">
        <v>47</v>
      </c>
      <c r="B80" s="12">
        <v>2021</v>
      </c>
      <c r="C80" s="3">
        <v>991630000000</v>
      </c>
      <c r="D80" s="3">
        <v>1878851000000</v>
      </c>
      <c r="E80" s="3">
        <f t="shared" si="13"/>
        <v>-887221000000</v>
      </c>
      <c r="F80" s="3">
        <v>10922788000000</v>
      </c>
      <c r="G80" s="15">
        <f t="shared" si="14"/>
        <v>-8.1226606247415956E-2</v>
      </c>
      <c r="H80" s="16">
        <f t="shared" si="15"/>
        <v>9.1551717382045689E-14</v>
      </c>
      <c r="I80" s="3">
        <v>4525473000000</v>
      </c>
      <c r="J80" s="3">
        <v>3536721000000</v>
      </c>
      <c r="K80" s="3">
        <f t="shared" si="16"/>
        <v>988752000000</v>
      </c>
      <c r="L80" s="15">
        <f t="shared" si="17"/>
        <v>9.0521943664932436E-2</v>
      </c>
      <c r="M80" s="3">
        <v>5826682000000</v>
      </c>
      <c r="N80" s="15">
        <f t="shared" si="18"/>
        <v>0.53344274373905265</v>
      </c>
      <c r="O80" s="16">
        <v>0.11600000000000001</v>
      </c>
      <c r="P80" s="16">
        <v>0.25700000000000001</v>
      </c>
      <c r="Q80" s="16">
        <v>-0.25900000000000001</v>
      </c>
      <c r="R80" s="3">
        <f>149857000000+22539000000+115227000000+19705000000</f>
        <v>307328000000</v>
      </c>
      <c r="S80" s="3">
        <f>168602000000+45638000000+100836000000+24004000000</f>
        <v>339080000000</v>
      </c>
      <c r="T80" s="3">
        <f t="shared" si="19"/>
        <v>-31752000000</v>
      </c>
      <c r="U80" s="15">
        <f t="shared" si="20"/>
        <v>9.3428893795247145E-2</v>
      </c>
      <c r="V80" s="16">
        <f t="shared" si="21"/>
        <v>1.0619999216317301E-14</v>
      </c>
      <c r="W80" s="16">
        <f t="shared" si="22"/>
        <v>2.4011225705378517E-2</v>
      </c>
      <c r="X80" s="16">
        <f t="shared" si="23"/>
        <v>-0.13816167062841464</v>
      </c>
      <c r="Y80" s="15">
        <f t="shared" si="24"/>
        <v>-0.11415044492302551</v>
      </c>
      <c r="Z80" s="47">
        <f t="shared" si="25"/>
        <v>3.2923838675609551E-2</v>
      </c>
    </row>
    <row r="81" spans="1:26" x14ac:dyDescent="0.25">
      <c r="A81" s="2"/>
      <c r="B81" s="12">
        <v>2022</v>
      </c>
      <c r="C81" s="3">
        <v>1035285000000</v>
      </c>
      <c r="D81" s="3">
        <v>1087265000000</v>
      </c>
      <c r="E81" s="3">
        <f t="shared" si="13"/>
        <v>-51980000000</v>
      </c>
      <c r="F81" s="3">
        <v>11851269000000</v>
      </c>
      <c r="G81" s="15">
        <f t="shared" si="14"/>
        <v>-4.3860281966429078E-3</v>
      </c>
      <c r="H81" s="16">
        <f t="shared" si="15"/>
        <v>8.437914960836684E-14</v>
      </c>
      <c r="I81" s="3">
        <v>4585348000000</v>
      </c>
      <c r="J81" s="3">
        <v>4525473000000</v>
      </c>
      <c r="K81" s="3">
        <f t="shared" si="16"/>
        <v>59875000000</v>
      </c>
      <c r="L81" s="15">
        <f t="shared" si="17"/>
        <v>5.0522015828009638E-3</v>
      </c>
      <c r="M81" s="3">
        <v>5665815000000</v>
      </c>
      <c r="N81" s="15">
        <f t="shared" si="18"/>
        <v>0.47807665153832896</v>
      </c>
      <c r="O81" s="16">
        <v>0.11600000000000001</v>
      </c>
      <c r="P81" s="16">
        <v>0.25700000000000001</v>
      </c>
      <c r="Q81" s="16">
        <v>-0.25900000000000001</v>
      </c>
      <c r="R81" s="3">
        <f>204303000000+21723000000+124849000000+46601000000</f>
        <v>397476000000</v>
      </c>
      <c r="S81" s="3">
        <f>149857000000+22539000000+115227000000+19705000000</f>
        <v>307328000000</v>
      </c>
      <c r="T81" s="3">
        <f t="shared" si="19"/>
        <v>90148000000</v>
      </c>
      <c r="U81" s="15">
        <f t="shared" si="20"/>
        <v>-2.5544099960940893E-3</v>
      </c>
      <c r="V81" s="16">
        <f t="shared" si="21"/>
        <v>9.7879813545705535E-15</v>
      </c>
      <c r="W81" s="16">
        <f t="shared" si="22"/>
        <v>-6.5648336899618096E-4</v>
      </c>
      <c r="X81" s="16">
        <f t="shared" si="23"/>
        <v>-0.12382185274842721</v>
      </c>
      <c r="Y81" s="15">
        <f t="shared" si="24"/>
        <v>-0.1244783361174136</v>
      </c>
      <c r="Z81" s="47">
        <f t="shared" si="25"/>
        <v>0.12009230792077069</v>
      </c>
    </row>
    <row r="82" spans="1:26" x14ac:dyDescent="0.25">
      <c r="A82" s="2"/>
      <c r="B82" s="12">
        <v>2023</v>
      </c>
      <c r="C82" s="3">
        <v>760673000000</v>
      </c>
      <c r="D82" s="3">
        <v>1411390000000</v>
      </c>
      <c r="E82" s="3">
        <f t="shared" si="13"/>
        <v>-650717000000</v>
      </c>
      <c r="F82" s="3">
        <v>12417013000000</v>
      </c>
      <c r="G82" s="15">
        <f t="shared" si="14"/>
        <v>-5.2405276534702831E-2</v>
      </c>
      <c r="H82" s="16">
        <f t="shared" si="15"/>
        <v>8.0534666429035715E-14</v>
      </c>
      <c r="I82" s="3">
        <v>4189896000000</v>
      </c>
      <c r="J82" s="3">
        <v>4585348000000</v>
      </c>
      <c r="K82" s="3">
        <f t="shared" si="16"/>
        <v>-395452000000</v>
      </c>
      <c r="L82" s="15">
        <f t="shared" si="17"/>
        <v>-3.1847594908695029E-2</v>
      </c>
      <c r="M82" s="3">
        <v>5493363000000</v>
      </c>
      <c r="N82" s="15">
        <f t="shared" si="18"/>
        <v>0.4424061567786069</v>
      </c>
      <c r="O82" s="16">
        <v>0.11600000000000001</v>
      </c>
      <c r="P82" s="16">
        <v>0.25700000000000001</v>
      </c>
      <c r="Q82" s="16">
        <v>-0.25900000000000001</v>
      </c>
      <c r="R82" s="3">
        <f>7996000000+24591000000+131922000000+51803000000</f>
        <v>216312000000</v>
      </c>
      <c r="S82" s="3">
        <f>204303000000+21723000000+124849000000+46601000000</f>
        <v>397476000000</v>
      </c>
      <c r="T82" s="3">
        <f t="shared" si="19"/>
        <v>-181164000000</v>
      </c>
      <c r="U82" s="15">
        <f t="shared" si="20"/>
        <v>-1.7257612599745203E-2</v>
      </c>
      <c r="V82" s="16">
        <f t="shared" si="21"/>
        <v>9.3420213057681431E-15</v>
      </c>
      <c r="W82" s="16">
        <f t="shared" si="22"/>
        <v>-4.4352064381345171E-3</v>
      </c>
      <c r="X82" s="16">
        <f t="shared" si="23"/>
        <v>-0.11458319460565919</v>
      </c>
      <c r="Y82" s="15">
        <f t="shared" si="24"/>
        <v>-0.11901840104378436</v>
      </c>
      <c r="Z82" s="47">
        <f t="shared" si="25"/>
        <v>6.6613124509081523E-2</v>
      </c>
    </row>
    <row r="83" spans="1:26" x14ac:dyDescent="0.25">
      <c r="A83" s="2" t="s">
        <v>48</v>
      </c>
      <c r="B83" s="12">
        <v>2021</v>
      </c>
      <c r="C83" s="3">
        <v>60376485000</v>
      </c>
      <c r="D83" s="3">
        <v>-273557927000</v>
      </c>
      <c r="E83" s="3">
        <f t="shared" si="13"/>
        <v>333934412000</v>
      </c>
      <c r="F83" s="3">
        <v>4674206873000</v>
      </c>
      <c r="G83" s="15">
        <f t="shared" si="14"/>
        <v>7.1441941076449231E-2</v>
      </c>
      <c r="H83" s="16">
        <f t="shared" si="15"/>
        <v>2.1394003884945295E-13</v>
      </c>
      <c r="I83" s="3">
        <v>9130618395000</v>
      </c>
      <c r="J83" s="3">
        <v>7000570412000</v>
      </c>
      <c r="K83" s="3">
        <f t="shared" si="16"/>
        <v>2130047983000</v>
      </c>
      <c r="L83" s="15">
        <f t="shared" si="17"/>
        <v>0.45570254823421891</v>
      </c>
      <c r="M83" s="3">
        <v>2459801444000</v>
      </c>
      <c r="N83" s="15">
        <f t="shared" si="18"/>
        <v>0.52625001649130043</v>
      </c>
      <c r="O83" s="16">
        <v>0.11600000000000001</v>
      </c>
      <c r="P83" s="16">
        <v>0.25700000000000001</v>
      </c>
      <c r="Q83" s="16">
        <v>-0.25900000000000001</v>
      </c>
      <c r="R83" s="3">
        <f>488600707000+16503157000</f>
        <v>505103864000</v>
      </c>
      <c r="S83" s="3">
        <f>383162203000+17976394000</f>
        <v>401138597000</v>
      </c>
      <c r="T83" s="3">
        <f t="shared" si="19"/>
        <v>103965267000</v>
      </c>
      <c r="U83" s="15">
        <f t="shared" si="20"/>
        <v>0.43346021497324516</v>
      </c>
      <c r="V83" s="16">
        <f t="shared" si="21"/>
        <v>2.4817044506536543E-14</v>
      </c>
      <c r="W83" s="16">
        <f t="shared" si="22"/>
        <v>0.11139927524812401</v>
      </c>
      <c r="X83" s="16">
        <f t="shared" si="23"/>
        <v>-0.13629875427124682</v>
      </c>
      <c r="Y83" s="15">
        <f t="shared" si="24"/>
        <v>-2.4899479023097998E-2</v>
      </c>
      <c r="Z83" s="47">
        <f t="shared" si="25"/>
        <v>9.6341420099547229E-2</v>
      </c>
    </row>
    <row r="84" spans="1:26" x14ac:dyDescent="0.25">
      <c r="A84" s="2"/>
      <c r="B84" s="12">
        <v>2022</v>
      </c>
      <c r="C84" s="3">
        <v>26217657000</v>
      </c>
      <c r="D84" s="3">
        <v>268953194000</v>
      </c>
      <c r="E84" s="3">
        <f t="shared" si="13"/>
        <v>-242735537000</v>
      </c>
      <c r="F84" s="3">
        <v>5436745210000</v>
      </c>
      <c r="G84" s="15">
        <f t="shared" si="14"/>
        <v>-4.464721586612664E-2</v>
      </c>
      <c r="H84" s="16">
        <f t="shared" si="15"/>
        <v>1.8393357815640583E-13</v>
      </c>
      <c r="I84" s="3">
        <v>11101647275000</v>
      </c>
      <c r="J84" s="3">
        <v>9130618395000</v>
      </c>
      <c r="K84" s="3">
        <f t="shared" si="16"/>
        <v>1971028880000</v>
      </c>
      <c r="L84" s="15">
        <f t="shared" si="17"/>
        <v>0.36253839454801307</v>
      </c>
      <c r="M84" s="3">
        <v>2538986813000</v>
      </c>
      <c r="N84" s="15">
        <f t="shared" si="18"/>
        <v>0.46700492940701926</v>
      </c>
      <c r="O84" s="16">
        <v>0.11600000000000001</v>
      </c>
      <c r="P84" s="16">
        <v>0.25700000000000001</v>
      </c>
      <c r="Q84" s="16">
        <v>-0.25900000000000001</v>
      </c>
      <c r="R84" s="3">
        <f>504692724000+20834639000</f>
        <v>525527363000</v>
      </c>
      <c r="S84" s="3">
        <f>488600707000+16503157000</f>
        <v>505103864000</v>
      </c>
      <c r="T84" s="3">
        <f t="shared" si="19"/>
        <v>20423499000</v>
      </c>
      <c r="U84" s="15">
        <f t="shared" si="20"/>
        <v>0.35878182729846925</v>
      </c>
      <c r="V84" s="16">
        <f t="shared" si="21"/>
        <v>2.1336295066143076E-14</v>
      </c>
      <c r="W84" s="16">
        <f t="shared" si="22"/>
        <v>9.2206929615706604E-2</v>
      </c>
      <c r="X84" s="16">
        <f t="shared" si="23"/>
        <v>-0.12095427671641799</v>
      </c>
      <c r="Y84" s="15">
        <f t="shared" si="24"/>
        <v>-2.874734710069006E-2</v>
      </c>
      <c r="Z84" s="47">
        <f t="shared" si="25"/>
        <v>-1.589986876543658E-2</v>
      </c>
    </row>
    <row r="85" spans="1:26" x14ac:dyDescent="0.25">
      <c r="A85" s="2"/>
      <c r="B85" s="12">
        <v>2023</v>
      </c>
      <c r="C85" s="3">
        <v>63162746000</v>
      </c>
      <c r="D85" s="3">
        <v>461817524000</v>
      </c>
      <c r="E85" s="3">
        <f t="shared" si="13"/>
        <v>-398654778000</v>
      </c>
      <c r="F85" s="3">
        <v>5746998087000</v>
      </c>
      <c r="G85" s="15">
        <f t="shared" si="14"/>
        <v>-6.9367480546370333E-2</v>
      </c>
      <c r="H85" s="16">
        <f t="shared" si="15"/>
        <v>1.7400388600477362E-13</v>
      </c>
      <c r="I85" s="3">
        <v>12058023085000</v>
      </c>
      <c r="J85" s="3">
        <v>11101647275000</v>
      </c>
      <c r="K85" s="3">
        <f t="shared" si="16"/>
        <v>956375810000</v>
      </c>
      <c r="L85" s="15">
        <f t="shared" si="17"/>
        <v>0.16641310742096302</v>
      </c>
      <c r="M85" s="3">
        <v>2367447869000</v>
      </c>
      <c r="N85" s="15">
        <f t="shared" si="18"/>
        <v>0.4119451291197202</v>
      </c>
      <c r="O85" s="16">
        <v>0.11600000000000001</v>
      </c>
      <c r="P85" s="16">
        <v>0.25700000000000001</v>
      </c>
      <c r="Q85" s="16">
        <v>-0.25900000000000001</v>
      </c>
      <c r="R85" s="3">
        <f>662976747000+18332504000</f>
        <v>681309251000</v>
      </c>
      <c r="S85" s="3">
        <f>504692724000+20834639000</f>
        <v>525527363000</v>
      </c>
      <c r="T85" s="3">
        <f t="shared" si="19"/>
        <v>155781888000</v>
      </c>
      <c r="U85" s="15">
        <f t="shared" si="20"/>
        <v>0.13930645353980262</v>
      </c>
      <c r="V85" s="16">
        <f t="shared" si="21"/>
        <v>2.018445077655374E-14</v>
      </c>
      <c r="W85" s="16">
        <f t="shared" si="22"/>
        <v>3.5801758559729273E-2</v>
      </c>
      <c r="X85" s="16">
        <f t="shared" si="23"/>
        <v>-0.10669378844200754</v>
      </c>
      <c r="Y85" s="15">
        <f t="shared" si="24"/>
        <v>-7.0892029882258081E-2</v>
      </c>
      <c r="Z85" s="47">
        <f t="shared" si="25"/>
        <v>1.5245493358877482E-3</v>
      </c>
    </row>
    <row r="86" spans="1:26" x14ac:dyDescent="0.25">
      <c r="A86" s="2" t="s">
        <v>49</v>
      </c>
      <c r="B86" s="12">
        <v>2021</v>
      </c>
      <c r="C86" s="3">
        <v>665850000000</v>
      </c>
      <c r="D86" s="3">
        <v>1168005000000</v>
      </c>
      <c r="E86" s="3">
        <f t="shared" si="13"/>
        <v>-502155000000</v>
      </c>
      <c r="F86" s="3">
        <v>2907425000000</v>
      </c>
      <c r="G86" s="15">
        <f t="shared" si="14"/>
        <v>-0.17271468739520365</v>
      </c>
      <c r="H86" s="16">
        <f t="shared" si="15"/>
        <v>3.4394696337824708E-13</v>
      </c>
      <c r="I86" s="3">
        <v>2473681000000</v>
      </c>
      <c r="J86" s="3">
        <v>1985009000000</v>
      </c>
      <c r="K86" s="3">
        <f t="shared" si="16"/>
        <v>488672000000</v>
      </c>
      <c r="L86" s="15">
        <f t="shared" si="17"/>
        <v>0.16807725048797476</v>
      </c>
      <c r="M86" s="3">
        <v>1406550000000</v>
      </c>
      <c r="N86" s="15">
        <f t="shared" si="18"/>
        <v>0.48377860133967343</v>
      </c>
      <c r="O86" s="16">
        <v>0.11600000000000001</v>
      </c>
      <c r="P86" s="16">
        <v>0.25700000000000001</v>
      </c>
      <c r="Q86" s="16">
        <v>-0.25900000000000001</v>
      </c>
      <c r="R86" s="3">
        <f>327812000000+1387000000</f>
        <v>329199000000</v>
      </c>
      <c r="S86" s="3">
        <f>336035000000+738000000</f>
        <v>336773000000</v>
      </c>
      <c r="T86" s="3">
        <f t="shared" si="19"/>
        <v>-7574000000</v>
      </c>
      <c r="U86" s="15">
        <f t="shared" si="20"/>
        <v>0.17068230478860161</v>
      </c>
      <c r="V86" s="16">
        <f t="shared" si="21"/>
        <v>3.9897847751876665E-14</v>
      </c>
      <c r="W86" s="16">
        <f t="shared" si="22"/>
        <v>4.3865352330670612E-2</v>
      </c>
      <c r="X86" s="16">
        <f t="shared" si="23"/>
        <v>-0.12529865774697543</v>
      </c>
      <c r="Y86" s="15">
        <f t="shared" si="24"/>
        <v>-8.1433305416264923E-2</v>
      </c>
      <c r="Z86" s="47">
        <f t="shared" si="25"/>
        <v>-9.128138197893873E-2</v>
      </c>
    </row>
    <row r="87" spans="1:26" x14ac:dyDescent="0.25">
      <c r="A87" s="2"/>
      <c r="B87" s="12">
        <v>2022</v>
      </c>
      <c r="C87" s="3">
        <v>924906000000</v>
      </c>
      <c r="D87" s="3">
        <v>1490060000000</v>
      </c>
      <c r="E87" s="3">
        <f t="shared" si="13"/>
        <v>-565154000000</v>
      </c>
      <c r="F87" s="3">
        <v>2922017000000</v>
      </c>
      <c r="G87" s="15">
        <f t="shared" si="14"/>
        <v>-0.19341229020912609</v>
      </c>
      <c r="H87" s="16">
        <f t="shared" si="15"/>
        <v>3.422293573240676E-13</v>
      </c>
      <c r="I87" s="3">
        <v>3114907000000</v>
      </c>
      <c r="J87" s="3">
        <v>2473681000000</v>
      </c>
      <c r="K87" s="3">
        <f t="shared" si="16"/>
        <v>641226000000</v>
      </c>
      <c r="L87" s="15">
        <f t="shared" si="17"/>
        <v>0.21944636187948258</v>
      </c>
      <c r="M87" s="3">
        <v>1468317000000</v>
      </c>
      <c r="N87" s="15">
        <f t="shared" si="18"/>
        <v>0.50250118325800297</v>
      </c>
      <c r="O87" s="16">
        <v>0.11600000000000001</v>
      </c>
      <c r="P87" s="16">
        <v>0.25700000000000001</v>
      </c>
      <c r="Q87" s="16">
        <v>-0.25900000000000001</v>
      </c>
      <c r="R87" s="3">
        <f>445676000000+1261000000</f>
        <v>446937000000</v>
      </c>
      <c r="S87" s="3">
        <f>327812000000+1387000000</f>
        <v>329199000000</v>
      </c>
      <c r="T87" s="3">
        <f t="shared" si="19"/>
        <v>117738000000</v>
      </c>
      <c r="U87" s="15">
        <f t="shared" si="20"/>
        <v>0.17915296180686149</v>
      </c>
      <c r="V87" s="16">
        <f t="shared" si="21"/>
        <v>3.9698605449591844E-14</v>
      </c>
      <c r="W87" s="16">
        <f t="shared" si="22"/>
        <v>4.6042311184363402E-2</v>
      </c>
      <c r="X87" s="16">
        <f t="shared" si="23"/>
        <v>-0.13014780646382276</v>
      </c>
      <c r="Y87" s="15">
        <f t="shared" si="24"/>
        <v>-8.4105495279419656E-2</v>
      </c>
      <c r="Z87" s="47">
        <f t="shared" si="25"/>
        <v>-0.10930679492970644</v>
      </c>
    </row>
    <row r="88" spans="1:26" x14ac:dyDescent="0.25">
      <c r="A88" s="2"/>
      <c r="B88" s="12">
        <v>2023</v>
      </c>
      <c r="C88" s="3">
        <v>1066467000000</v>
      </c>
      <c r="D88" s="3">
        <v>1018862000000</v>
      </c>
      <c r="E88" s="3">
        <f t="shared" si="13"/>
        <v>47605000000</v>
      </c>
      <c r="F88" s="3">
        <v>3374502000000</v>
      </c>
      <c r="G88" s="15">
        <f t="shared" si="14"/>
        <v>1.4107266790773869E-2</v>
      </c>
      <c r="H88" s="16">
        <f t="shared" si="15"/>
        <v>2.9634002291301058E-13</v>
      </c>
      <c r="I88" s="3">
        <v>3322282000000</v>
      </c>
      <c r="J88" s="3">
        <v>3114907000000</v>
      </c>
      <c r="K88" s="3">
        <f t="shared" si="16"/>
        <v>207375000000</v>
      </c>
      <c r="L88" s="15">
        <f t="shared" si="17"/>
        <v>6.1453512251585567E-2</v>
      </c>
      <c r="M88" s="3">
        <v>1444099000000</v>
      </c>
      <c r="N88" s="15">
        <f t="shared" si="18"/>
        <v>0.42794433074865568</v>
      </c>
      <c r="O88" s="16">
        <v>0.11600000000000001</v>
      </c>
      <c r="P88" s="16">
        <v>0.25700000000000001</v>
      </c>
      <c r="Q88" s="16">
        <v>-0.25900000000000001</v>
      </c>
      <c r="R88" s="3">
        <f>597645000000+1018000000</f>
        <v>598663000000</v>
      </c>
      <c r="S88" s="3">
        <f>445676000000+1261000000</f>
        <v>446937000000</v>
      </c>
      <c r="T88" s="3">
        <f t="shared" si="19"/>
        <v>151726000000</v>
      </c>
      <c r="U88" s="15">
        <f t="shared" si="20"/>
        <v>1.6491025935086126E-2</v>
      </c>
      <c r="V88" s="16">
        <f t="shared" si="21"/>
        <v>3.4375442657909232E-14</v>
      </c>
      <c r="W88" s="16">
        <f t="shared" si="22"/>
        <v>4.2381936653171342E-3</v>
      </c>
      <c r="X88" s="16">
        <f t="shared" si="23"/>
        <v>-0.11083758166390183</v>
      </c>
      <c r="Y88" s="15">
        <f t="shared" si="24"/>
        <v>-0.10659938799855032</v>
      </c>
      <c r="Z88" s="47">
        <f t="shared" si="25"/>
        <v>0.12070665478932419</v>
      </c>
    </row>
    <row r="89" spans="1:26" x14ac:dyDescent="0.25">
      <c r="A89" s="2" t="s">
        <v>50</v>
      </c>
      <c r="B89" s="12">
        <v>2021</v>
      </c>
      <c r="C89" s="3">
        <v>1211052647953</v>
      </c>
      <c r="D89" s="3">
        <v>1041955003348</v>
      </c>
      <c r="E89" s="3">
        <f t="shared" si="13"/>
        <v>169097644605</v>
      </c>
      <c r="F89" s="3">
        <v>19777500514550</v>
      </c>
      <c r="G89" s="15">
        <f t="shared" si="14"/>
        <v>8.5500007688331242E-3</v>
      </c>
      <c r="H89" s="16">
        <f t="shared" si="15"/>
        <v>5.0562506584910237E-14</v>
      </c>
      <c r="I89" s="3">
        <v>27904558322183</v>
      </c>
      <c r="J89" s="3">
        <v>24476953742651</v>
      </c>
      <c r="K89" s="3">
        <f t="shared" si="16"/>
        <v>3427604579532</v>
      </c>
      <c r="L89" s="15">
        <f t="shared" si="17"/>
        <v>0.17330827912305524</v>
      </c>
      <c r="M89" s="3">
        <v>6376788515278</v>
      </c>
      <c r="N89" s="15">
        <f t="shared" si="18"/>
        <v>0.32242641129432387</v>
      </c>
      <c r="O89" s="16">
        <v>0.11600000000000001</v>
      </c>
      <c r="P89" s="16">
        <v>0.25700000000000001</v>
      </c>
      <c r="Q89" s="16">
        <v>-0.25900000000000001</v>
      </c>
      <c r="R89" s="3">
        <f>5552851482405+358952306318+167585242110</f>
        <v>6079389030833</v>
      </c>
      <c r="S89" s="3">
        <f>5333380386497+130604357590+168238240056</f>
        <v>5632222984143</v>
      </c>
      <c r="T89" s="3">
        <f t="shared" si="19"/>
        <v>447166046690</v>
      </c>
      <c r="U89" s="15">
        <f t="shared" si="20"/>
        <v>0.15069844294274384</v>
      </c>
      <c r="V89" s="16">
        <f t="shared" si="21"/>
        <v>5.8652507638495878E-15</v>
      </c>
      <c r="W89" s="16">
        <f t="shared" si="22"/>
        <v>3.8729499836285167E-2</v>
      </c>
      <c r="X89" s="16">
        <f t="shared" si="23"/>
        <v>-8.3508440525229891E-2</v>
      </c>
      <c r="Y89" s="15">
        <f t="shared" si="24"/>
        <v>-4.4778940688938861E-2</v>
      </c>
      <c r="Z89" s="47">
        <f t="shared" si="25"/>
        <v>5.3328941457771985E-2</v>
      </c>
    </row>
    <row r="90" spans="1:26" x14ac:dyDescent="0.25">
      <c r="A90" s="2"/>
      <c r="B90" s="12">
        <v>2022</v>
      </c>
      <c r="C90" s="3">
        <v>1970064538149</v>
      </c>
      <c r="D90" s="3">
        <v>1619570638186</v>
      </c>
      <c r="E90" s="3">
        <f t="shared" si="13"/>
        <v>350493899963</v>
      </c>
      <c r="F90" s="3">
        <v>19917653265528</v>
      </c>
      <c r="G90" s="15">
        <f t="shared" si="14"/>
        <v>1.7597148383419692E-2</v>
      </c>
      <c r="H90" s="16">
        <f t="shared" si="15"/>
        <v>5.0206717963643135E-14</v>
      </c>
      <c r="I90" s="3">
        <v>30669405967404</v>
      </c>
      <c r="J90" s="3">
        <v>27904558322183</v>
      </c>
      <c r="K90" s="3">
        <f t="shared" si="16"/>
        <v>2764847645221</v>
      </c>
      <c r="L90" s="15">
        <f t="shared" si="17"/>
        <v>0.1388139259360536</v>
      </c>
      <c r="M90" s="3">
        <v>6644507001686</v>
      </c>
      <c r="N90" s="15">
        <f t="shared" si="18"/>
        <v>0.33359888904110108</v>
      </c>
      <c r="O90" s="16">
        <v>0.11600000000000001</v>
      </c>
      <c r="P90" s="16">
        <v>0.25700000000000001</v>
      </c>
      <c r="Q90" s="16">
        <v>-0.25900000000000001</v>
      </c>
      <c r="R90" s="3">
        <f>6135528728699+353876660824+115363708383</f>
        <v>6604769097906</v>
      </c>
      <c r="S90" s="3">
        <f>5552851482405+358952306318+167585242110</f>
        <v>6079389030833</v>
      </c>
      <c r="T90" s="3">
        <f t="shared" si="19"/>
        <v>525380067073</v>
      </c>
      <c r="U90" s="15">
        <f t="shared" si="20"/>
        <v>0.11243631708479958</v>
      </c>
      <c r="V90" s="16">
        <f t="shared" si="21"/>
        <v>5.8239792837826044E-15</v>
      </c>
      <c r="W90" s="16">
        <f t="shared" si="22"/>
        <v>2.8896133490793494E-2</v>
      </c>
      <c r="X90" s="16">
        <f t="shared" si="23"/>
        <v>-8.6402112261645181E-2</v>
      </c>
      <c r="Y90" s="15">
        <f t="shared" si="24"/>
        <v>-5.7505978770845859E-2</v>
      </c>
      <c r="Z90" s="47">
        <f t="shared" si="25"/>
        <v>7.510312715426555E-2</v>
      </c>
    </row>
    <row r="91" spans="1:26" x14ac:dyDescent="0.25">
      <c r="A91" s="2"/>
      <c r="B91" s="12">
        <v>2023</v>
      </c>
      <c r="C91" s="3">
        <v>3244872091221</v>
      </c>
      <c r="D91" s="3">
        <v>5259181989696</v>
      </c>
      <c r="E91" s="3">
        <f t="shared" si="13"/>
        <v>-2014309898475</v>
      </c>
      <c r="F91" s="3">
        <v>22276160695411</v>
      </c>
      <c r="G91" s="15">
        <f t="shared" si="14"/>
        <v>-9.0424464341826993E-2</v>
      </c>
      <c r="H91" s="16">
        <f t="shared" si="15"/>
        <v>4.4891039065183483E-14</v>
      </c>
      <c r="I91" s="3">
        <v>31485008185525</v>
      </c>
      <c r="J91" s="3">
        <v>30669405967404</v>
      </c>
      <c r="K91" s="3">
        <f t="shared" si="16"/>
        <v>815602218121</v>
      </c>
      <c r="L91" s="15">
        <f t="shared" si="17"/>
        <v>3.6613231035320111E-2</v>
      </c>
      <c r="M91" s="3">
        <v>8159841794537</v>
      </c>
      <c r="N91" s="15">
        <f t="shared" si="18"/>
        <v>0.36630377676427733</v>
      </c>
      <c r="O91" s="16">
        <v>0.11600000000000001</v>
      </c>
      <c r="P91" s="16">
        <v>0.25700000000000001</v>
      </c>
      <c r="Q91" s="16">
        <v>-0.25900000000000001</v>
      </c>
      <c r="R91" s="3">
        <f>5848243953678+250189161535+98527776182</f>
        <v>6196960891395</v>
      </c>
      <c r="S91" s="3">
        <f>6135528728699+353876660824+115363708383</f>
        <v>6604769097906</v>
      </c>
      <c r="T91" s="3">
        <f t="shared" si="19"/>
        <v>-407808206511</v>
      </c>
      <c r="U91" s="15">
        <f t="shared" si="20"/>
        <v>5.4920165164907823E-2</v>
      </c>
      <c r="V91" s="16">
        <f t="shared" si="21"/>
        <v>5.2073605315612845E-15</v>
      </c>
      <c r="W91" s="16">
        <f t="shared" si="22"/>
        <v>1.411448244738131E-2</v>
      </c>
      <c r="X91" s="16">
        <f t="shared" si="23"/>
        <v>-9.4872678181947834E-2</v>
      </c>
      <c r="Y91" s="15">
        <f t="shared" si="24"/>
        <v>-8.0758195734561319E-2</v>
      </c>
      <c r="Z91" s="47">
        <f t="shared" si="25"/>
        <v>-9.6662686072656739E-3</v>
      </c>
    </row>
    <row r="92" spans="1:26" x14ac:dyDescent="0.25">
      <c r="A92" s="2" t="s">
        <v>51</v>
      </c>
      <c r="B92" s="12">
        <v>2021</v>
      </c>
      <c r="C92" s="3">
        <v>283602993676</v>
      </c>
      <c r="D92" s="3">
        <v>643601152274</v>
      </c>
      <c r="E92" s="3">
        <f t="shared" si="13"/>
        <v>-359998158598</v>
      </c>
      <c r="F92" s="3">
        <v>4452166671985</v>
      </c>
      <c r="G92" s="15">
        <f t="shared" si="14"/>
        <v>-8.0859092913854166E-2</v>
      </c>
      <c r="H92" s="16">
        <f t="shared" si="15"/>
        <v>2.2460974030744218E-13</v>
      </c>
      <c r="I92" s="3">
        <v>3287623237457</v>
      </c>
      <c r="J92" s="3">
        <v>3212034546032</v>
      </c>
      <c r="K92" s="3">
        <f t="shared" si="16"/>
        <v>75588691425</v>
      </c>
      <c r="L92" s="15">
        <f t="shared" si="17"/>
        <v>1.6977956351148633E-2</v>
      </c>
      <c r="M92" s="3">
        <v>2492863630370</v>
      </c>
      <c r="N92" s="15">
        <f t="shared" si="18"/>
        <v>0.55992145263927329</v>
      </c>
      <c r="O92" s="16">
        <v>0.11600000000000001</v>
      </c>
      <c r="P92" s="16">
        <v>0.25700000000000001</v>
      </c>
      <c r="Q92" s="16">
        <v>-0.25900000000000001</v>
      </c>
      <c r="R92" s="3">
        <f>193582865936+185850582845+7094124947</f>
        <v>386527573728</v>
      </c>
      <c r="S92" s="3">
        <f>176075299580+169703141320+64490484095</f>
        <v>410268924995</v>
      </c>
      <c r="T92" s="3">
        <f t="shared" si="19"/>
        <v>-23741351267</v>
      </c>
      <c r="U92" s="15">
        <f t="shared" si="20"/>
        <v>2.2310495093777267E-2</v>
      </c>
      <c r="V92" s="16">
        <f t="shared" si="21"/>
        <v>2.6054729875663294E-14</v>
      </c>
      <c r="W92" s="16">
        <f t="shared" si="22"/>
        <v>5.733797239100758E-3</v>
      </c>
      <c r="X92" s="16">
        <f t="shared" si="23"/>
        <v>-0.1450196562335718</v>
      </c>
      <c r="Y92" s="15">
        <f t="shared" si="24"/>
        <v>-0.13928585899444498</v>
      </c>
      <c r="Z92" s="47">
        <f t="shared" si="25"/>
        <v>5.8426766080590817E-2</v>
      </c>
    </row>
    <row r="93" spans="1:26" x14ac:dyDescent="0.25">
      <c r="A93" s="2"/>
      <c r="B93" s="12">
        <v>2022</v>
      </c>
      <c r="C93" s="3">
        <v>432247722254</v>
      </c>
      <c r="D93" s="3">
        <v>726581686414</v>
      </c>
      <c r="E93" s="3">
        <f t="shared" si="13"/>
        <v>-294333964160</v>
      </c>
      <c r="F93" s="3">
        <v>4191284422677</v>
      </c>
      <c r="G93" s="15">
        <f t="shared" si="14"/>
        <v>-7.0225242306988803E-2</v>
      </c>
      <c r="H93" s="16">
        <f t="shared" si="15"/>
        <v>2.3859034585901324E-13</v>
      </c>
      <c r="I93" s="3">
        <v>3935182048668</v>
      </c>
      <c r="J93" s="3">
        <v>3287623237457</v>
      </c>
      <c r="K93" s="3">
        <f t="shared" si="16"/>
        <v>647558811211</v>
      </c>
      <c r="L93" s="15">
        <f t="shared" si="17"/>
        <v>0.15450128073088393</v>
      </c>
      <c r="M93" s="3">
        <v>2493688426380</v>
      </c>
      <c r="N93" s="15">
        <f t="shared" si="18"/>
        <v>0.59496998411462265</v>
      </c>
      <c r="O93" s="16">
        <v>0.11600000000000001</v>
      </c>
      <c r="P93" s="16">
        <v>0.25700000000000001</v>
      </c>
      <c r="Q93" s="16">
        <v>-0.25900000000000001</v>
      </c>
      <c r="R93" s="3">
        <f>248296556758+239881553735+4651700713</f>
        <v>492829811206</v>
      </c>
      <c r="S93" s="3">
        <f>193582865936+185850582845+7094124947</f>
        <v>386527573728</v>
      </c>
      <c r="T93" s="3">
        <f t="shared" si="19"/>
        <v>106302237478</v>
      </c>
      <c r="U93" s="15">
        <f t="shared" si="20"/>
        <v>0.12913859312542098</v>
      </c>
      <c r="V93" s="16">
        <f t="shared" si="21"/>
        <v>2.7676480119645538E-14</v>
      </c>
      <c r="W93" s="16">
        <f t="shared" si="22"/>
        <v>3.3188618433233188E-2</v>
      </c>
      <c r="X93" s="16">
        <f t="shared" si="23"/>
        <v>-0.15409722588568728</v>
      </c>
      <c r="Y93" s="15">
        <f t="shared" si="24"/>
        <v>-0.1209086074524264</v>
      </c>
      <c r="Z93" s="47">
        <f t="shared" si="25"/>
        <v>5.0683365145437601E-2</v>
      </c>
    </row>
    <row r="94" spans="1:26" x14ac:dyDescent="0.25">
      <c r="A94" s="2"/>
      <c r="B94" s="12">
        <v>2023</v>
      </c>
      <c r="C94" s="3">
        <v>333300420963</v>
      </c>
      <c r="D94" s="3">
        <v>618793076443</v>
      </c>
      <c r="E94" s="3">
        <f t="shared" si="13"/>
        <v>-285492655480</v>
      </c>
      <c r="F94" s="3">
        <v>4130321616083</v>
      </c>
      <c r="G94" s="15">
        <f t="shared" si="14"/>
        <v>-6.9121168281018178E-2</v>
      </c>
      <c r="H94" s="16">
        <f t="shared" si="15"/>
        <v>2.4211189659084039E-13</v>
      </c>
      <c r="I94" s="3">
        <v>3820532634926</v>
      </c>
      <c r="J94" s="3">
        <v>3935182048668</v>
      </c>
      <c r="K94" s="3">
        <f t="shared" si="16"/>
        <v>-114649413742</v>
      </c>
      <c r="L94" s="15">
        <f t="shared" si="17"/>
        <v>-2.7757987004103576E-2</v>
      </c>
      <c r="M94" s="3">
        <v>2534957098472</v>
      </c>
      <c r="N94" s="15">
        <f t="shared" si="18"/>
        <v>0.61374327088746961</v>
      </c>
      <c r="O94" s="16">
        <v>0.11600000000000001</v>
      </c>
      <c r="P94" s="16">
        <v>0.25700000000000001</v>
      </c>
      <c r="Q94" s="16">
        <v>-0.25900000000000001</v>
      </c>
      <c r="R94" s="3">
        <f>238052062834+230433185621+3387672528</f>
        <v>471872920983</v>
      </c>
      <c r="S94" s="3">
        <f>248296556758+239881553735+4651700713</f>
        <v>492829811206</v>
      </c>
      <c r="T94" s="3">
        <f t="shared" si="19"/>
        <v>-20956890223</v>
      </c>
      <c r="U94" s="15">
        <f t="shared" si="20"/>
        <v>-2.2684074565567008E-2</v>
      </c>
      <c r="V94" s="16">
        <f t="shared" si="21"/>
        <v>2.8084980004537485E-14</v>
      </c>
      <c r="W94" s="16">
        <f t="shared" si="22"/>
        <v>-5.8298071633507212E-3</v>
      </c>
      <c r="X94" s="16">
        <f t="shared" si="23"/>
        <v>-0.15895950715985463</v>
      </c>
      <c r="Y94" s="15">
        <f t="shared" si="24"/>
        <v>-0.16478931432317726</v>
      </c>
      <c r="Z94" s="47">
        <f t="shared" si="25"/>
        <v>9.5668146042159077E-2</v>
      </c>
    </row>
    <row r="95" spans="1:26" x14ac:dyDescent="0.25">
      <c r="A95" s="2" t="s">
        <v>52</v>
      </c>
      <c r="B95" s="12">
        <v>2021</v>
      </c>
      <c r="C95" s="3">
        <v>29707421605</v>
      </c>
      <c r="D95" s="3">
        <v>-44970462418</v>
      </c>
      <c r="E95" s="3">
        <f t="shared" si="13"/>
        <v>74677884023</v>
      </c>
      <c r="F95" s="3">
        <v>1768660546754</v>
      </c>
      <c r="G95" s="15">
        <f t="shared" si="14"/>
        <v>4.2222847204940121E-2</v>
      </c>
      <c r="H95" s="16">
        <f t="shared" si="15"/>
        <v>5.6539961940989028E-13</v>
      </c>
      <c r="I95" s="3">
        <v>3847887478570</v>
      </c>
      <c r="J95" s="3">
        <v>3165530224724</v>
      </c>
      <c r="K95" s="3">
        <f t="shared" si="16"/>
        <v>682357253846</v>
      </c>
      <c r="L95" s="15">
        <f t="shared" si="17"/>
        <v>0.38580453162610628</v>
      </c>
      <c r="M95" s="3">
        <v>440353396212</v>
      </c>
      <c r="N95" s="15">
        <f t="shared" si="18"/>
        <v>0.24897564262411739</v>
      </c>
      <c r="O95" s="16">
        <v>0.11600000000000001</v>
      </c>
      <c r="P95" s="16">
        <v>0.25700000000000001</v>
      </c>
      <c r="Q95" s="16">
        <v>-0.25900000000000001</v>
      </c>
      <c r="R95" s="3">
        <f>7086068357+443947525518+7072500000+688650559</f>
        <v>458794744434</v>
      </c>
      <c r="S95" s="3">
        <f>4818811584+355583321595+7083000000+2384819572</f>
        <v>369869952751</v>
      </c>
      <c r="T95" s="3">
        <f t="shared" si="19"/>
        <v>88924791683</v>
      </c>
      <c r="U95" s="15">
        <f t="shared" si="20"/>
        <v>0.33552648825243431</v>
      </c>
      <c r="V95" s="16">
        <f t="shared" si="21"/>
        <v>6.5586355851547271E-14</v>
      </c>
      <c r="W95" s="16">
        <f t="shared" si="22"/>
        <v>8.6230307480875623E-2</v>
      </c>
      <c r="X95" s="16">
        <f t="shared" si="23"/>
        <v>-6.4484691439646413E-2</v>
      </c>
      <c r="Y95" s="15">
        <f t="shared" si="24"/>
        <v>2.1745616041294796E-2</v>
      </c>
      <c r="Z95" s="47">
        <f t="shared" si="25"/>
        <v>2.0477231163645325E-2</v>
      </c>
    </row>
    <row r="96" spans="1:26" x14ac:dyDescent="0.25">
      <c r="A96" s="2"/>
      <c r="B96" s="12">
        <v>2022</v>
      </c>
      <c r="C96" s="3">
        <v>86635603936</v>
      </c>
      <c r="D96" s="3">
        <v>102191880734</v>
      </c>
      <c r="E96" s="3">
        <f t="shared" si="13"/>
        <v>-15556276798</v>
      </c>
      <c r="F96" s="3">
        <v>1970428120056</v>
      </c>
      <c r="G96" s="15">
        <f t="shared" si="14"/>
        <v>-7.894871495011899E-3</v>
      </c>
      <c r="H96" s="16">
        <f t="shared" si="15"/>
        <v>5.0750392253414435E-13</v>
      </c>
      <c r="I96" s="3">
        <v>3802296289773</v>
      </c>
      <c r="J96" s="3">
        <v>3847887478570</v>
      </c>
      <c r="K96" s="3">
        <f t="shared" si="16"/>
        <v>-45591188797</v>
      </c>
      <c r="L96" s="15">
        <f t="shared" si="17"/>
        <v>-2.313770714747224E-2</v>
      </c>
      <c r="M96" s="3">
        <v>421445662260</v>
      </c>
      <c r="N96" s="15">
        <f t="shared" si="18"/>
        <v>0.21388532673195021</v>
      </c>
      <c r="O96" s="16">
        <v>0.11600000000000001</v>
      </c>
      <c r="P96" s="16">
        <v>0.25700000000000001</v>
      </c>
      <c r="Q96" s="16">
        <v>-0.25900000000000001</v>
      </c>
      <c r="R96" s="3">
        <f>2759119056+446016275414+7098375000+1137623147</f>
        <v>457011392617</v>
      </c>
      <c r="S96" s="3">
        <f>7086068357+443947525518+7072500000+688650559</f>
        <v>458794744434</v>
      </c>
      <c r="T96" s="3">
        <f t="shared" si="19"/>
        <v>-1783351817</v>
      </c>
      <c r="U96" s="15">
        <f t="shared" si="20"/>
        <v>-2.2232649105086346E-2</v>
      </c>
      <c r="V96" s="16">
        <f t="shared" si="21"/>
        <v>5.8870455013960749E-14</v>
      </c>
      <c r="W96" s="16">
        <f t="shared" si="22"/>
        <v>-5.7137908200071913E-3</v>
      </c>
      <c r="X96" s="16">
        <f t="shared" si="23"/>
        <v>-5.5396299623575104E-2</v>
      </c>
      <c r="Y96" s="15">
        <f t="shared" si="24"/>
        <v>-6.1110090443523425E-2</v>
      </c>
      <c r="Z96" s="47">
        <f t="shared" si="25"/>
        <v>5.3215218948511528E-2</v>
      </c>
    </row>
    <row r="97" spans="1:26" x14ac:dyDescent="0.25">
      <c r="A97" s="2"/>
      <c r="B97" s="12">
        <v>2023</v>
      </c>
      <c r="C97" s="3">
        <v>2306736526</v>
      </c>
      <c r="D97" s="3">
        <v>136863064344</v>
      </c>
      <c r="E97" s="3">
        <f t="shared" si="13"/>
        <v>-134556327818</v>
      </c>
      <c r="F97" s="3">
        <v>2042199577083</v>
      </c>
      <c r="G97" s="15">
        <f t="shared" si="14"/>
        <v>-6.5887942259881926E-2</v>
      </c>
      <c r="H97" s="16">
        <f t="shared" si="15"/>
        <v>4.8966810649738839E-13</v>
      </c>
      <c r="I97" s="3">
        <v>2839561359367</v>
      </c>
      <c r="J97" s="3">
        <v>3802296289773</v>
      </c>
      <c r="K97" s="3">
        <f t="shared" si="16"/>
        <v>-962734930406</v>
      </c>
      <c r="L97" s="15">
        <f t="shared" si="17"/>
        <v>-0.47142059043080103</v>
      </c>
      <c r="M97" s="3">
        <v>437450447490</v>
      </c>
      <c r="N97" s="15">
        <f t="shared" si="18"/>
        <v>0.21420553230886352</v>
      </c>
      <c r="O97" s="16">
        <v>0.11600000000000001</v>
      </c>
      <c r="P97" s="16">
        <v>0.25700000000000001</v>
      </c>
      <c r="Q97" s="16">
        <v>-0.25900000000000001</v>
      </c>
      <c r="R97" s="3">
        <f>295957638+243472013051+7124250000+229201756</f>
        <v>251121422445</v>
      </c>
      <c r="S97" s="3">
        <f>2759119056+446016275414+7098375000+1137623147</f>
        <v>457011392617</v>
      </c>
      <c r="T97" s="3">
        <f t="shared" si="19"/>
        <v>-205889970172</v>
      </c>
      <c r="U97" s="15">
        <f t="shared" si="20"/>
        <v>-0.37060283858987403</v>
      </c>
      <c r="V97" s="16">
        <f t="shared" si="21"/>
        <v>5.6801500353697055E-14</v>
      </c>
      <c r="W97" s="16">
        <f t="shared" si="22"/>
        <v>-9.5244929517597623E-2</v>
      </c>
      <c r="X97" s="16">
        <f t="shared" si="23"/>
        <v>-5.5479232867995651E-2</v>
      </c>
      <c r="Y97" s="15">
        <f t="shared" si="24"/>
        <v>-0.15072416238553649</v>
      </c>
      <c r="Z97" s="47">
        <f t="shared" si="25"/>
        <v>8.483622012565456E-2</v>
      </c>
    </row>
    <row r="98" spans="1:26" x14ac:dyDescent="0.25">
      <c r="A98" s="2" t="s">
        <v>53</v>
      </c>
      <c r="B98" s="12">
        <v>2021</v>
      </c>
      <c r="C98" s="3">
        <v>2829418000000</v>
      </c>
      <c r="D98" s="3">
        <v>650500000000</v>
      </c>
      <c r="E98" s="3">
        <f t="shared" si="13"/>
        <v>2178918000000</v>
      </c>
      <c r="F98" s="3">
        <v>35026171000000</v>
      </c>
      <c r="G98" s="15">
        <f t="shared" si="14"/>
        <v>6.2208284199834464E-2</v>
      </c>
      <c r="H98" s="16">
        <f t="shared" si="15"/>
        <v>2.8550080452699209E-14</v>
      </c>
      <c r="I98" s="3">
        <v>57004234000000</v>
      </c>
      <c r="J98" s="3">
        <v>40434346000000</v>
      </c>
      <c r="K98" s="3">
        <f t="shared" si="16"/>
        <v>16569888000000</v>
      </c>
      <c r="L98" s="15">
        <f t="shared" si="17"/>
        <v>0.47307163549221526</v>
      </c>
      <c r="M98" s="3">
        <v>12003892000000</v>
      </c>
      <c r="N98" s="15">
        <f t="shared" si="18"/>
        <v>0.34271208234551243</v>
      </c>
      <c r="O98" s="16">
        <v>0.11600000000000001</v>
      </c>
      <c r="P98" s="16">
        <v>0.25700000000000001</v>
      </c>
      <c r="Q98" s="16">
        <v>-0.25900000000000001</v>
      </c>
      <c r="R98" s="3">
        <f>4173388000000+3627655000000+148503000000</f>
        <v>7949546000000</v>
      </c>
      <c r="S98" s="3">
        <f>2799199000000+2696207000000+156527000000</f>
        <v>5651933000000</v>
      </c>
      <c r="T98" s="3">
        <f t="shared" si="19"/>
        <v>2297613000000</v>
      </c>
      <c r="U98" s="15">
        <f t="shared" si="20"/>
        <v>0.40747459949304765</v>
      </c>
      <c r="V98" s="16">
        <f t="shared" si="21"/>
        <v>3.3118093325131083E-15</v>
      </c>
      <c r="W98" s="16">
        <f t="shared" si="22"/>
        <v>0.10472097206971324</v>
      </c>
      <c r="X98" s="16">
        <f t="shared" si="23"/>
        <v>-8.8762429327487721E-2</v>
      </c>
      <c r="Y98" s="15">
        <f t="shared" si="24"/>
        <v>1.595854274222884E-2</v>
      </c>
      <c r="Z98" s="47">
        <f t="shared" si="25"/>
        <v>4.6249741457605624E-2</v>
      </c>
    </row>
    <row r="99" spans="1:26" x14ac:dyDescent="0.25">
      <c r="A99" s="2"/>
      <c r="B99" s="12">
        <v>2022</v>
      </c>
      <c r="C99" s="3">
        <v>5504956000000</v>
      </c>
      <c r="D99" s="3">
        <v>4283273000000</v>
      </c>
      <c r="E99" s="3">
        <f t="shared" si="13"/>
        <v>1221683000000</v>
      </c>
      <c r="F99" s="3">
        <v>40345003000000</v>
      </c>
      <c r="G99" s="15">
        <f t="shared" si="14"/>
        <v>3.0280899966719545E-2</v>
      </c>
      <c r="H99" s="16">
        <f t="shared" si="15"/>
        <v>2.4786217019242754E-14</v>
      </c>
      <c r="I99" s="3">
        <v>75045559000000</v>
      </c>
      <c r="J99" s="3">
        <v>57004234000000</v>
      </c>
      <c r="K99" s="3">
        <f t="shared" si="16"/>
        <v>18041325000000</v>
      </c>
      <c r="L99" s="15">
        <f t="shared" si="17"/>
        <v>0.44717619676468978</v>
      </c>
      <c r="M99" s="3">
        <v>12388624000000</v>
      </c>
      <c r="N99" s="15">
        <f t="shared" si="18"/>
        <v>0.30706712303379924</v>
      </c>
      <c r="O99" s="16">
        <v>0.11600000000000001</v>
      </c>
      <c r="P99" s="16">
        <v>0.25700000000000001</v>
      </c>
      <c r="Q99" s="16">
        <v>-0.25900000000000001</v>
      </c>
      <c r="R99" s="3">
        <f>6389257000000+2124759000000+132495000000</f>
        <v>8646511000000</v>
      </c>
      <c r="S99" s="3">
        <f>4173388000000+3627655000000+148503000000</f>
        <v>7949546000000</v>
      </c>
      <c r="T99" s="3">
        <f t="shared" si="19"/>
        <v>696965000000</v>
      </c>
      <c r="U99" s="15">
        <f t="shared" si="20"/>
        <v>0.42990107101987329</v>
      </c>
      <c r="V99" s="16">
        <f t="shared" si="21"/>
        <v>2.8752011742321595E-15</v>
      </c>
      <c r="W99" s="16">
        <f t="shared" si="22"/>
        <v>0.11048457525210743</v>
      </c>
      <c r="X99" s="16">
        <f t="shared" si="23"/>
        <v>-7.9530384865754006E-2</v>
      </c>
      <c r="Y99" s="15">
        <f t="shared" si="24"/>
        <v>3.0954190386356301E-2</v>
      </c>
      <c r="Z99" s="47">
        <f t="shared" si="25"/>
        <v>-6.732904196367559E-4</v>
      </c>
    </row>
    <row r="100" spans="1:26" x14ac:dyDescent="0.25">
      <c r="A100" s="2"/>
      <c r="B100" s="12">
        <v>2023</v>
      </c>
      <c r="C100" s="3">
        <v>917870000000</v>
      </c>
      <c r="D100" s="3">
        <v>4037932000000</v>
      </c>
      <c r="E100" s="3">
        <f t="shared" si="13"/>
        <v>-3120062000000</v>
      </c>
      <c r="F100" s="3">
        <v>42600814000000</v>
      </c>
      <c r="G100" s="15">
        <f t="shared" si="14"/>
        <v>-7.3239492559930897E-2</v>
      </c>
      <c r="H100" s="16">
        <f t="shared" si="15"/>
        <v>2.3473729868166368E-14</v>
      </c>
      <c r="I100" s="3">
        <v>66530549000000</v>
      </c>
      <c r="J100" s="3">
        <v>75045559000000</v>
      </c>
      <c r="K100" s="3">
        <f t="shared" si="16"/>
        <v>-8515010000000</v>
      </c>
      <c r="L100" s="15">
        <f t="shared" si="17"/>
        <v>-0.19987904456473532</v>
      </c>
      <c r="M100" s="3">
        <v>13037169000000</v>
      </c>
      <c r="N100" s="15">
        <f t="shared" si="18"/>
        <v>0.30603098335163265</v>
      </c>
      <c r="O100" s="16">
        <v>0.11600000000000001</v>
      </c>
      <c r="P100" s="16">
        <v>0.25700000000000001</v>
      </c>
      <c r="Q100" s="16">
        <v>-0.25900000000000001</v>
      </c>
      <c r="R100" s="3">
        <f>2209148000000+2766321000000+127130000000</f>
        <v>5102599000000</v>
      </c>
      <c r="S100" s="3">
        <f>6389257000000+2124759000000+132495000000</f>
        <v>8646511000000</v>
      </c>
      <c r="T100" s="3">
        <f t="shared" si="19"/>
        <v>-3543912000000</v>
      </c>
      <c r="U100" s="15">
        <f t="shared" si="20"/>
        <v>-0.1166902116001821</v>
      </c>
      <c r="V100" s="16">
        <f t="shared" si="21"/>
        <v>2.7229526647072988E-15</v>
      </c>
      <c r="W100" s="16">
        <f t="shared" si="22"/>
        <v>-2.9989384381246799E-2</v>
      </c>
      <c r="X100" s="16">
        <f t="shared" si="23"/>
        <v>-7.9262024688072863E-2</v>
      </c>
      <c r="Y100" s="15">
        <f t="shared" si="24"/>
        <v>-0.10925140906931693</v>
      </c>
      <c r="Z100" s="47">
        <f t="shared" si="25"/>
        <v>3.6011916509386038E-2</v>
      </c>
    </row>
    <row r="101" spans="1:26" x14ac:dyDescent="0.25">
      <c r="A101" s="2" t="s">
        <v>54</v>
      </c>
      <c r="B101" s="12">
        <v>2021</v>
      </c>
      <c r="C101" s="3">
        <v>617573766863</v>
      </c>
      <c r="D101" s="3">
        <v>624883019222</v>
      </c>
      <c r="E101" s="3">
        <f t="shared" si="13"/>
        <v>-7309252359</v>
      </c>
      <c r="F101" s="3">
        <v>3448995059882</v>
      </c>
      <c r="G101" s="15">
        <f t="shared" si="14"/>
        <v>-2.1192411795597269E-3</v>
      </c>
      <c r="H101" s="16">
        <f t="shared" si="15"/>
        <v>2.899395280763936E-13</v>
      </c>
      <c r="I101" s="3">
        <v>4241856914012</v>
      </c>
      <c r="J101" s="3">
        <v>3846300254825</v>
      </c>
      <c r="K101" s="3">
        <f t="shared" si="16"/>
        <v>395556659187</v>
      </c>
      <c r="L101" s="15">
        <f t="shared" si="17"/>
        <v>0.11468751109215365</v>
      </c>
      <c r="M101" s="3">
        <v>1552703249576</v>
      </c>
      <c r="N101" s="15">
        <f t="shared" si="18"/>
        <v>0.45019004742474827</v>
      </c>
      <c r="O101" s="16">
        <v>0.11600000000000001</v>
      </c>
      <c r="P101" s="16">
        <v>0.25700000000000001</v>
      </c>
      <c r="Q101" s="16">
        <v>-0.25900000000000001</v>
      </c>
      <c r="R101" s="3">
        <f>180415788122+295565013714+44538093800+602190453</f>
        <v>521121086089</v>
      </c>
      <c r="S101" s="3">
        <f>141282908965+306311166144+32739920378+602368115</f>
        <v>480936363602</v>
      </c>
      <c r="T101" s="3">
        <f t="shared" si="19"/>
        <v>40184722487</v>
      </c>
      <c r="U101" s="15">
        <f t="shared" si="20"/>
        <v>0.10303637161839202</v>
      </c>
      <c r="V101" s="16">
        <f t="shared" si="21"/>
        <v>3.3632985256861659E-14</v>
      </c>
      <c r="W101" s="16">
        <f t="shared" si="22"/>
        <v>2.648034750592675E-2</v>
      </c>
      <c r="X101" s="16">
        <f t="shared" si="23"/>
        <v>-0.11659922228300981</v>
      </c>
      <c r="Y101" s="15">
        <f t="shared" si="24"/>
        <v>-9.0118874777049426E-2</v>
      </c>
      <c r="Z101" s="47">
        <f t="shared" si="25"/>
        <v>8.7999633597489704E-2</v>
      </c>
    </row>
    <row r="102" spans="1:26" x14ac:dyDescent="0.25">
      <c r="A102" s="2"/>
      <c r="B102" s="12">
        <v>2022</v>
      </c>
      <c r="C102" s="3">
        <v>624524005786</v>
      </c>
      <c r="D102" s="3">
        <v>677186311780</v>
      </c>
      <c r="E102" s="3">
        <f t="shared" si="13"/>
        <v>-52662305994</v>
      </c>
      <c r="F102" s="3">
        <v>3919243683748</v>
      </c>
      <c r="G102" s="15">
        <f t="shared" si="14"/>
        <v>-1.3436854210514073E-2</v>
      </c>
      <c r="H102" s="16">
        <f t="shared" si="15"/>
        <v>2.5515126914580956E-13</v>
      </c>
      <c r="I102" s="3">
        <v>4931553771470</v>
      </c>
      <c r="J102" s="3">
        <v>4241856914012</v>
      </c>
      <c r="K102" s="3">
        <f t="shared" si="16"/>
        <v>689696857458</v>
      </c>
      <c r="L102" s="15">
        <f t="shared" si="17"/>
        <v>0.17597702850628519</v>
      </c>
      <c r="M102" s="3">
        <v>1585273559920</v>
      </c>
      <c r="N102" s="15">
        <f t="shared" si="18"/>
        <v>0.40448456075688355</v>
      </c>
      <c r="O102" s="16">
        <v>0.11600000000000001</v>
      </c>
      <c r="P102" s="16">
        <v>0.25700000000000001</v>
      </c>
      <c r="Q102" s="16">
        <v>-0.25900000000000001</v>
      </c>
      <c r="R102" s="3">
        <f>187542243295+295369538109+26124668872+667500000</f>
        <v>509703950276</v>
      </c>
      <c r="S102" s="3">
        <f>180415788122+295565013714+44538093800+602190453</f>
        <v>521121086089</v>
      </c>
      <c r="T102" s="3">
        <f t="shared" si="19"/>
        <v>-11417135813</v>
      </c>
      <c r="U102" s="15">
        <f t="shared" si="20"/>
        <v>0.17889012519898223</v>
      </c>
      <c r="V102" s="16">
        <f t="shared" si="21"/>
        <v>2.9597547220913909E-14</v>
      </c>
      <c r="W102" s="16">
        <f t="shared" si="22"/>
        <v>4.5974762176138433E-2</v>
      </c>
      <c r="X102" s="16">
        <f t="shared" si="23"/>
        <v>-0.10476150123603284</v>
      </c>
      <c r="Y102" s="15">
        <f t="shared" si="24"/>
        <v>-5.8786739059864812E-2</v>
      </c>
      <c r="Z102" s="47">
        <f t="shared" si="25"/>
        <v>4.5349884849350736E-2</v>
      </c>
    </row>
    <row r="103" spans="1:26" x14ac:dyDescent="0.25">
      <c r="A103" s="2"/>
      <c r="B103" s="12">
        <v>2023</v>
      </c>
      <c r="C103" s="3">
        <v>917794022711</v>
      </c>
      <c r="D103" s="3">
        <v>1040203617434</v>
      </c>
      <c r="E103" s="3">
        <f t="shared" si="13"/>
        <v>-122409594723</v>
      </c>
      <c r="F103" s="3">
        <v>4590737849889</v>
      </c>
      <c r="G103" s="15">
        <f t="shared" si="14"/>
        <v>-2.6664470663677681E-2</v>
      </c>
      <c r="H103" s="16">
        <f t="shared" si="15"/>
        <v>2.1782990723902457E-13</v>
      </c>
      <c r="I103" s="3">
        <v>4767207433046</v>
      </c>
      <c r="J103" s="3">
        <v>4931553771470</v>
      </c>
      <c r="K103" s="3">
        <f t="shared" si="16"/>
        <v>-164346338424</v>
      </c>
      <c r="L103" s="15">
        <f t="shared" si="17"/>
        <v>-3.5799547653973258E-2</v>
      </c>
      <c r="M103" s="3">
        <v>1635687431376</v>
      </c>
      <c r="N103" s="15">
        <f t="shared" si="18"/>
        <v>0.35630164144867243</v>
      </c>
      <c r="O103" s="16">
        <v>0.11600000000000001</v>
      </c>
      <c r="P103" s="16">
        <v>0.25700000000000001</v>
      </c>
      <c r="Q103" s="16">
        <v>-0.25900000000000001</v>
      </c>
      <c r="R103" s="3">
        <f>180032562886+247820758443+27890280354+667500000</f>
        <v>456411101683</v>
      </c>
      <c r="S103" s="3">
        <f>187542243295+295369538109+26124668872+667500000</f>
        <v>509703950276</v>
      </c>
      <c r="T103" s="3">
        <f t="shared" si="19"/>
        <v>-53292848593</v>
      </c>
      <c r="U103" s="15">
        <f t="shared" si="20"/>
        <v>-2.419077138845669E-2</v>
      </c>
      <c r="V103" s="16">
        <f t="shared" si="21"/>
        <v>2.5268269239726851E-14</v>
      </c>
      <c r="W103" s="16">
        <f t="shared" si="22"/>
        <v>-6.2170282468333692E-3</v>
      </c>
      <c r="X103" s="16">
        <f t="shared" si="23"/>
        <v>-9.2282125135206158E-2</v>
      </c>
      <c r="Y103" s="15">
        <f t="shared" si="24"/>
        <v>-9.849915338201426E-2</v>
      </c>
      <c r="Z103" s="47">
        <f t="shared" si="25"/>
        <v>7.1834682718336582E-2</v>
      </c>
    </row>
    <row r="104" spans="1:26" x14ac:dyDescent="0.25">
      <c r="A104" s="2" t="s">
        <v>55</v>
      </c>
      <c r="B104" s="12">
        <v>2021</v>
      </c>
      <c r="C104" s="3">
        <v>791916000000</v>
      </c>
      <c r="D104" s="3">
        <v>1531950000000</v>
      </c>
      <c r="E104" s="3">
        <f t="shared" si="13"/>
        <v>-740034000000</v>
      </c>
      <c r="F104" s="3">
        <v>19413293000000</v>
      </c>
      <c r="G104" s="15">
        <f t="shared" si="14"/>
        <v>-3.8119962440169221E-2</v>
      </c>
      <c r="H104" s="16">
        <f t="shared" si="15"/>
        <v>5.1511096030951574E-14</v>
      </c>
      <c r="I104" s="3">
        <v>15972216000000</v>
      </c>
      <c r="J104" s="3">
        <v>10863256000000</v>
      </c>
      <c r="K104" s="3">
        <f t="shared" si="16"/>
        <v>5108960000000</v>
      </c>
      <c r="L104" s="15">
        <f t="shared" si="17"/>
        <v>0.26316812917829036</v>
      </c>
      <c r="M104" s="3">
        <v>6647127000000</v>
      </c>
      <c r="N104" s="15">
        <f t="shared" si="18"/>
        <v>0.34240079722693106</v>
      </c>
      <c r="O104" s="16">
        <v>0.11600000000000001</v>
      </c>
      <c r="P104" s="16">
        <v>0.25700000000000001</v>
      </c>
      <c r="Q104" s="16">
        <v>-0.25900000000000001</v>
      </c>
      <c r="R104" s="3">
        <f>1990671000000+1466256000000+11405000000</f>
        <v>3468332000000</v>
      </c>
      <c r="S104" s="3">
        <f>1624444000000+1388413000000+10718000000</f>
        <v>3023575000000</v>
      </c>
      <c r="T104" s="3">
        <f t="shared" si="19"/>
        <v>444757000000</v>
      </c>
      <c r="U104" s="15">
        <f t="shared" si="20"/>
        <v>0.24025820864085243</v>
      </c>
      <c r="V104" s="16">
        <f t="shared" si="21"/>
        <v>5.975287139590383E-15</v>
      </c>
      <c r="W104" s="16">
        <f t="shared" si="22"/>
        <v>6.1746359620699076E-2</v>
      </c>
      <c r="X104" s="16">
        <f t="shared" si="23"/>
        <v>-8.8681806481775149E-2</v>
      </c>
      <c r="Y104" s="15">
        <f t="shared" si="24"/>
        <v>-2.6935446861070099E-2</v>
      </c>
      <c r="Z104" s="47">
        <f t="shared" si="25"/>
        <v>-1.1184515579099122E-2</v>
      </c>
    </row>
    <row r="105" spans="1:26" x14ac:dyDescent="0.25">
      <c r="A105" s="2"/>
      <c r="B105" s="12">
        <v>2022</v>
      </c>
      <c r="C105" s="3">
        <v>801440000000</v>
      </c>
      <c r="D105" s="3">
        <v>1023209000000</v>
      </c>
      <c r="E105" s="3">
        <f t="shared" si="13"/>
        <v>-221769000000</v>
      </c>
      <c r="F105" s="3">
        <v>21084017000000</v>
      </c>
      <c r="G105" s="15">
        <f t="shared" si="14"/>
        <v>-1.0518346669896917E-2</v>
      </c>
      <c r="H105" s="16">
        <f t="shared" si="15"/>
        <v>4.7429292055683698E-14</v>
      </c>
      <c r="I105" s="3">
        <v>16579960000000</v>
      </c>
      <c r="J105" s="3">
        <v>15972216000000</v>
      </c>
      <c r="K105" s="3">
        <f t="shared" si="16"/>
        <v>607744000000</v>
      </c>
      <c r="L105" s="15">
        <f t="shared" si="17"/>
        <v>2.8824867671089431E-2</v>
      </c>
      <c r="M105" s="3">
        <v>6910144000000</v>
      </c>
      <c r="N105" s="15">
        <f t="shared" si="18"/>
        <v>0.32774323792283033</v>
      </c>
      <c r="O105" s="16">
        <v>0.11600000000000001</v>
      </c>
      <c r="P105" s="16">
        <v>0.25700000000000001</v>
      </c>
      <c r="Q105" s="16">
        <v>-0.25900000000000001</v>
      </c>
      <c r="R105" s="3">
        <f>2131578000000+1435375000000+5276000000</f>
        <v>3572229000000</v>
      </c>
      <c r="S105" s="3">
        <f>1990671000000+1466256000000+11405000000</f>
        <v>3468332000000</v>
      </c>
      <c r="T105" s="3">
        <f t="shared" si="19"/>
        <v>103897000000</v>
      </c>
      <c r="U105" s="15">
        <f t="shared" si="20"/>
        <v>2.3897106514380064E-2</v>
      </c>
      <c r="V105" s="16">
        <f t="shared" si="21"/>
        <v>5.5017978784593089E-15</v>
      </c>
      <c r="W105" s="16">
        <f t="shared" si="22"/>
        <v>6.1415563741956765E-3</v>
      </c>
      <c r="X105" s="16">
        <f t="shared" si="23"/>
        <v>-8.4885498622013056E-2</v>
      </c>
      <c r="Y105" s="15">
        <f t="shared" si="24"/>
        <v>-7.8743942247811879E-2</v>
      </c>
      <c r="Z105" s="47">
        <f t="shared" si="25"/>
        <v>6.8225595577914966E-2</v>
      </c>
    </row>
    <row r="106" spans="1:26" x14ac:dyDescent="0.25">
      <c r="A106" s="2"/>
      <c r="B106" s="12">
        <v>2023</v>
      </c>
      <c r="C106" s="3">
        <v>612218000000</v>
      </c>
      <c r="D106" s="3">
        <v>-1053127000000</v>
      </c>
      <c r="E106" s="3">
        <f t="shared" si="13"/>
        <v>1665345000000</v>
      </c>
      <c r="F106" s="3">
        <v>23673644000000</v>
      </c>
      <c r="G106" s="15">
        <f t="shared" si="14"/>
        <v>7.0345950965554779E-2</v>
      </c>
      <c r="H106" s="16">
        <f t="shared" si="15"/>
        <v>4.2241067746055484E-14</v>
      </c>
      <c r="I106" s="3">
        <v>15317617000000</v>
      </c>
      <c r="J106" s="3">
        <v>16579960000000</v>
      </c>
      <c r="K106" s="3">
        <f t="shared" si="16"/>
        <v>-1262343000000</v>
      </c>
      <c r="L106" s="15">
        <f t="shared" si="17"/>
        <v>-5.332271618175892E-2</v>
      </c>
      <c r="M106" s="3">
        <v>7589557000000</v>
      </c>
      <c r="N106" s="15">
        <f t="shared" si="18"/>
        <v>0.32059099139954966</v>
      </c>
      <c r="O106" s="16">
        <v>0.11600000000000001</v>
      </c>
      <c r="P106" s="16">
        <v>0.25700000000000001</v>
      </c>
      <c r="Q106" s="16">
        <v>-0.25900000000000001</v>
      </c>
      <c r="R106" s="3">
        <f>2655191000000+1198820000000+6723000000</f>
        <v>3860734000000</v>
      </c>
      <c r="S106" s="3">
        <f>2131578000000+1435375000000+5276000000</f>
        <v>3572229000000</v>
      </c>
      <c r="T106" s="3">
        <f t="shared" si="19"/>
        <v>288505000000</v>
      </c>
      <c r="U106" s="15">
        <f t="shared" si="20"/>
        <v>-6.5509475431834663E-2</v>
      </c>
      <c r="V106" s="16">
        <f t="shared" si="21"/>
        <v>4.899963858542436E-15</v>
      </c>
      <c r="W106" s="16">
        <f t="shared" si="22"/>
        <v>-1.6835935185981508E-2</v>
      </c>
      <c r="X106" s="16">
        <f t="shared" si="23"/>
        <v>-8.3033066772483372E-2</v>
      </c>
      <c r="Y106" s="15">
        <f t="shared" si="24"/>
        <v>-9.9869001958459977E-2</v>
      </c>
      <c r="Z106" s="47">
        <f t="shared" si="25"/>
        <v>0.17021495292401476</v>
      </c>
    </row>
    <row r="107" spans="1:26" x14ac:dyDescent="0.25">
      <c r="A107" s="2" t="s">
        <v>56</v>
      </c>
      <c r="B107" s="12">
        <v>2021</v>
      </c>
      <c r="C107" s="3">
        <v>481109000000</v>
      </c>
      <c r="D107" s="3">
        <v>71134000000</v>
      </c>
      <c r="E107" s="3">
        <f t="shared" si="13"/>
        <v>409975000000</v>
      </c>
      <c r="F107" s="3">
        <v>3361956000000</v>
      </c>
      <c r="G107" s="15">
        <f t="shared" si="14"/>
        <v>0.12194537941603042</v>
      </c>
      <c r="H107" s="16">
        <f t="shared" si="15"/>
        <v>2.974458916178558E-13</v>
      </c>
      <c r="I107" s="3">
        <v>11926150000000</v>
      </c>
      <c r="J107" s="3">
        <v>12488884000000</v>
      </c>
      <c r="K107" s="3">
        <f t="shared" si="16"/>
        <v>-562734000000</v>
      </c>
      <c r="L107" s="15">
        <f t="shared" si="17"/>
        <v>-0.16738291637368247</v>
      </c>
      <c r="M107" s="3">
        <v>78301000000</v>
      </c>
      <c r="N107" s="15">
        <f t="shared" si="18"/>
        <v>2.3290310759569728E-2</v>
      </c>
      <c r="O107" s="16">
        <v>0.11600000000000001</v>
      </c>
      <c r="P107" s="16">
        <v>0.25700000000000001</v>
      </c>
      <c r="Q107" s="16">
        <v>-0.25900000000000001</v>
      </c>
      <c r="R107" s="3">
        <v>1381671000000</v>
      </c>
      <c r="S107" s="3">
        <f>1045004168600+7100126155+224479955781</f>
        <v>1276584250536</v>
      </c>
      <c r="T107" s="3">
        <f t="shared" si="19"/>
        <v>105086749464</v>
      </c>
      <c r="U107" s="15">
        <f t="shared" si="20"/>
        <v>-0.19864053826522418</v>
      </c>
      <c r="V107" s="16">
        <f t="shared" si="21"/>
        <v>3.4503723427671275E-14</v>
      </c>
      <c r="W107" s="16">
        <f t="shared" si="22"/>
        <v>-5.1050618334162613E-2</v>
      </c>
      <c r="X107" s="16">
        <f t="shared" si="23"/>
        <v>-6.03219048672856E-3</v>
      </c>
      <c r="Y107" s="15">
        <f t="shared" si="24"/>
        <v>-5.7082808820856666E-2</v>
      </c>
      <c r="Z107" s="47">
        <f t="shared" si="25"/>
        <v>0.1790281882368871</v>
      </c>
    </row>
    <row r="108" spans="1:26" x14ac:dyDescent="0.25">
      <c r="A108" s="2"/>
      <c r="B108" s="12">
        <v>2022</v>
      </c>
      <c r="C108" s="3">
        <v>478266000000</v>
      </c>
      <c r="D108" s="3">
        <v>654165000000</v>
      </c>
      <c r="E108" s="3">
        <f t="shared" si="13"/>
        <v>-175899000000</v>
      </c>
      <c r="F108" s="3">
        <v>3403961000000</v>
      </c>
      <c r="G108" s="15">
        <f t="shared" si="14"/>
        <v>-5.167479885932888E-2</v>
      </c>
      <c r="H108" s="16">
        <f t="shared" si="15"/>
        <v>2.937753987193155E-13</v>
      </c>
      <c r="I108" s="3">
        <v>12977529000000</v>
      </c>
      <c r="J108" s="3">
        <v>11926150000000</v>
      </c>
      <c r="K108" s="3">
        <f t="shared" si="16"/>
        <v>1051379000000</v>
      </c>
      <c r="L108" s="15">
        <f t="shared" si="17"/>
        <v>0.30886928493011523</v>
      </c>
      <c r="M108" s="3">
        <v>168528000000</v>
      </c>
      <c r="N108" s="15">
        <f t="shared" si="18"/>
        <v>4.9509380395368806E-2</v>
      </c>
      <c r="O108" s="16">
        <v>0.11600000000000001</v>
      </c>
      <c r="P108" s="16">
        <v>0.25700000000000001</v>
      </c>
      <c r="Q108" s="16">
        <v>-0.25900000000000001</v>
      </c>
      <c r="R108" s="3">
        <v>1596876000000</v>
      </c>
      <c r="S108" s="3">
        <v>1381671000000</v>
      </c>
      <c r="T108" s="3">
        <f t="shared" si="19"/>
        <v>215205000000</v>
      </c>
      <c r="U108" s="15">
        <f t="shared" si="20"/>
        <v>0.24564735024872494</v>
      </c>
      <c r="V108" s="16">
        <f t="shared" si="21"/>
        <v>3.4077946251440599E-14</v>
      </c>
      <c r="W108" s="16">
        <f t="shared" si="22"/>
        <v>6.3131369013922314E-2</v>
      </c>
      <c r="X108" s="16">
        <f t="shared" si="23"/>
        <v>-1.2822929522400521E-2</v>
      </c>
      <c r="Y108" s="15">
        <f t="shared" si="24"/>
        <v>5.0308439491555876E-2</v>
      </c>
      <c r="Z108" s="47">
        <f t="shared" si="25"/>
        <v>-0.10198323835088476</v>
      </c>
    </row>
    <row r="109" spans="1:26" x14ac:dyDescent="0.25">
      <c r="A109" s="2"/>
      <c r="B109" s="12">
        <v>2023</v>
      </c>
      <c r="C109" s="3">
        <v>441099000000</v>
      </c>
      <c r="D109" s="3">
        <v>624616000000</v>
      </c>
      <c r="E109" s="3">
        <f t="shared" si="13"/>
        <v>-183517000000</v>
      </c>
      <c r="F109" s="3">
        <v>4181760000000</v>
      </c>
      <c r="G109" s="15">
        <f t="shared" si="14"/>
        <v>-4.3885110575451483E-2</v>
      </c>
      <c r="H109" s="16">
        <f t="shared" si="15"/>
        <v>2.3913376186103459E-13</v>
      </c>
      <c r="I109" s="3">
        <v>14210135000000</v>
      </c>
      <c r="J109" s="3">
        <v>12977529000000</v>
      </c>
      <c r="K109" s="3">
        <f t="shared" si="16"/>
        <v>1232606000000</v>
      </c>
      <c r="L109" s="15">
        <f t="shared" si="17"/>
        <v>0.29475770967248238</v>
      </c>
      <c r="M109" s="3">
        <v>388542000000</v>
      </c>
      <c r="N109" s="15">
        <f t="shared" si="18"/>
        <v>9.2913510101010108E-2</v>
      </c>
      <c r="O109" s="16">
        <v>0.11600000000000001</v>
      </c>
      <c r="P109" s="16">
        <v>0.25700000000000001</v>
      </c>
      <c r="Q109" s="16">
        <v>-0.25900000000000001</v>
      </c>
      <c r="R109" s="3">
        <f>1366348000000+211470000000</f>
        <v>1577818000000</v>
      </c>
      <c r="S109" s="3">
        <v>1596876000000</v>
      </c>
      <c r="T109" s="3">
        <f t="shared" si="19"/>
        <v>-19058000000</v>
      </c>
      <c r="U109" s="15">
        <f t="shared" si="20"/>
        <v>0.29931512090603002</v>
      </c>
      <c r="V109" s="16">
        <f t="shared" si="21"/>
        <v>2.7739516375880015E-14</v>
      </c>
      <c r="W109" s="16">
        <f t="shared" si="22"/>
        <v>7.6923986072849712E-2</v>
      </c>
      <c r="X109" s="16">
        <f t="shared" si="23"/>
        <v>-2.4064599116161618E-2</v>
      </c>
      <c r="Y109" s="15">
        <f t="shared" si="24"/>
        <v>5.285938695671584E-2</v>
      </c>
      <c r="Z109" s="47">
        <f t="shared" si="25"/>
        <v>-9.6744497532167323E-2</v>
      </c>
    </row>
    <row r="110" spans="1:26" x14ac:dyDescent="0.25">
      <c r="A110" s="2" t="s">
        <v>57</v>
      </c>
      <c r="B110" s="12">
        <v>2021</v>
      </c>
      <c r="C110" s="3">
        <v>1276793000000</v>
      </c>
      <c r="D110" s="3">
        <v>1414447000000</v>
      </c>
      <c r="E110" s="3">
        <f t="shared" si="13"/>
        <v>-137654000000</v>
      </c>
      <c r="F110" s="3">
        <v>8754116000000</v>
      </c>
      <c r="G110" s="15">
        <f t="shared" si="14"/>
        <v>-1.5724488914700241E-2</v>
      </c>
      <c r="H110" s="16">
        <f t="shared" si="15"/>
        <v>1.1423197956252807E-13</v>
      </c>
      <c r="I110" s="3">
        <v>6616642000000</v>
      </c>
      <c r="J110" s="3">
        <v>5967362000000</v>
      </c>
      <c r="K110" s="3">
        <f t="shared" si="16"/>
        <v>649280000000</v>
      </c>
      <c r="L110" s="15">
        <f t="shared" si="17"/>
        <v>7.4168539690358221E-2</v>
      </c>
      <c r="M110" s="3">
        <v>2165353000000</v>
      </c>
      <c r="N110" s="15">
        <f t="shared" si="18"/>
        <v>0.24735255964165884</v>
      </c>
      <c r="O110" s="16">
        <v>0.11600000000000001</v>
      </c>
      <c r="P110" s="16">
        <v>0.25700000000000001</v>
      </c>
      <c r="Q110" s="16">
        <v>-0.25900000000000001</v>
      </c>
      <c r="R110" s="3">
        <f>626006000000+60946000000</f>
        <v>686952000000</v>
      </c>
      <c r="S110" s="3">
        <f>563444000000+92800000000</f>
        <v>656244000000</v>
      </c>
      <c r="T110" s="3">
        <f t="shared" si="19"/>
        <v>30708000000</v>
      </c>
      <c r="U110" s="15">
        <f t="shared" si="20"/>
        <v>7.0660704061952115E-2</v>
      </c>
      <c r="V110" s="16">
        <f t="shared" si="21"/>
        <v>1.3250909629253257E-14</v>
      </c>
      <c r="W110" s="16">
        <f t="shared" si="22"/>
        <v>1.8159800943921695E-2</v>
      </c>
      <c r="X110" s="16">
        <f t="shared" si="23"/>
        <v>-6.4064312947189644E-2</v>
      </c>
      <c r="Y110" s="15">
        <f t="shared" si="24"/>
        <v>-4.5904512003254697E-2</v>
      </c>
      <c r="Z110" s="47">
        <f t="shared" si="25"/>
        <v>3.0180023088554456E-2</v>
      </c>
    </row>
    <row r="111" spans="1:26" x14ac:dyDescent="0.25">
      <c r="A111" s="2"/>
      <c r="B111" s="12">
        <v>2022</v>
      </c>
      <c r="C111" s="3">
        <v>965486000000</v>
      </c>
      <c r="D111" s="3">
        <v>259846000000</v>
      </c>
      <c r="E111" s="3">
        <f t="shared" si="13"/>
        <v>705640000000</v>
      </c>
      <c r="F111" s="3">
        <v>7406856000000</v>
      </c>
      <c r="G111" s="15">
        <f t="shared" si="14"/>
        <v>9.5268491786528589E-2</v>
      </c>
      <c r="H111" s="16">
        <f t="shared" si="15"/>
        <v>1.3501005014813303E-13</v>
      </c>
      <c r="I111" s="3">
        <v>7656252000000</v>
      </c>
      <c r="J111" s="3">
        <v>6616642000000</v>
      </c>
      <c r="K111" s="3">
        <f t="shared" si="16"/>
        <v>1039610000000</v>
      </c>
      <c r="L111" s="15">
        <f t="shared" si="17"/>
        <v>0.14035779823450056</v>
      </c>
      <c r="M111" s="3">
        <v>2260183000000</v>
      </c>
      <c r="N111" s="15">
        <f t="shared" si="18"/>
        <v>0.30514742017395774</v>
      </c>
      <c r="O111" s="16">
        <v>0.11600000000000001</v>
      </c>
      <c r="P111" s="16">
        <v>0.25700000000000001</v>
      </c>
      <c r="Q111" s="16">
        <v>-0.25900000000000001</v>
      </c>
      <c r="R111" s="3">
        <f>617192000000+69335000000</f>
        <v>686527000000</v>
      </c>
      <c r="S111" s="3">
        <f>626006000000+60946000000</f>
        <v>686952000000</v>
      </c>
      <c r="T111" s="3">
        <f t="shared" si="19"/>
        <v>-425000000</v>
      </c>
      <c r="U111" s="15">
        <f t="shared" si="20"/>
        <v>0.14041517750581353</v>
      </c>
      <c r="V111" s="16">
        <f t="shared" si="21"/>
        <v>1.5661165817183433E-14</v>
      </c>
      <c r="W111" s="16">
        <f t="shared" si="22"/>
        <v>3.6086700618994078E-2</v>
      </c>
      <c r="X111" s="16">
        <f t="shared" si="23"/>
        <v>-7.903318182505506E-2</v>
      </c>
      <c r="Y111" s="15">
        <f t="shared" si="24"/>
        <v>-4.2946481206045321E-2</v>
      </c>
      <c r="Z111" s="47">
        <f t="shared" si="25"/>
        <v>0.1382149729925739</v>
      </c>
    </row>
    <row r="112" spans="1:26" x14ac:dyDescent="0.25">
      <c r="A112" s="2"/>
      <c r="B112" s="12">
        <v>2023</v>
      </c>
      <c r="C112" s="3">
        <v>1186161000000</v>
      </c>
      <c r="D112" s="3">
        <v>1399842000000</v>
      </c>
      <c r="E112" s="3">
        <f t="shared" si="13"/>
        <v>-213681000000</v>
      </c>
      <c r="F112" s="3">
        <v>7376375000000</v>
      </c>
      <c r="G112" s="15">
        <f t="shared" si="14"/>
        <v>-2.8968294046872615E-2</v>
      </c>
      <c r="H112" s="16">
        <f t="shared" si="15"/>
        <v>1.3556794495941434E-13</v>
      </c>
      <c r="I112" s="3">
        <v>8302741000000</v>
      </c>
      <c r="J112" s="3">
        <v>7656252000000</v>
      </c>
      <c r="K112" s="3">
        <f t="shared" si="16"/>
        <v>646489000000</v>
      </c>
      <c r="L112" s="15">
        <f t="shared" si="17"/>
        <v>8.7643185168866822E-2</v>
      </c>
      <c r="M112" s="3">
        <v>2346120000000</v>
      </c>
      <c r="N112" s="15">
        <f t="shared" si="18"/>
        <v>0.3180586670281812</v>
      </c>
      <c r="O112" s="16">
        <v>0.11600000000000001</v>
      </c>
      <c r="P112" s="16">
        <v>0.25700000000000001</v>
      </c>
      <c r="Q112" s="16">
        <v>-0.25900000000000001</v>
      </c>
      <c r="R112" s="3">
        <f>710304000000+56791000000</f>
        <v>767095000000</v>
      </c>
      <c r="S112" s="3">
        <f>617192000000+69335000000</f>
        <v>686527000000</v>
      </c>
      <c r="T112" s="3">
        <f t="shared" si="19"/>
        <v>80568000000</v>
      </c>
      <c r="U112" s="15">
        <f t="shared" si="20"/>
        <v>7.6720746979376725E-2</v>
      </c>
      <c r="V112" s="16">
        <f t="shared" si="21"/>
        <v>1.5725881615292065E-14</v>
      </c>
      <c r="W112" s="16">
        <f t="shared" si="22"/>
        <v>1.971723197369982E-2</v>
      </c>
      <c r="X112" s="16">
        <f t="shared" si="23"/>
        <v>-8.2377194760298936E-2</v>
      </c>
      <c r="Y112" s="15">
        <f t="shared" si="24"/>
        <v>-6.2659962786583395E-2</v>
      </c>
      <c r="Z112" s="47">
        <f t="shared" si="25"/>
        <v>3.369166873971078E-2</v>
      </c>
    </row>
    <row r="113" spans="1:26" x14ac:dyDescent="0.25">
      <c r="A113" s="2" t="s">
        <v>58</v>
      </c>
      <c r="B113" s="12">
        <v>2021</v>
      </c>
      <c r="C113" s="3">
        <v>5758148000000</v>
      </c>
      <c r="D113" s="3">
        <v>7902091000000</v>
      </c>
      <c r="E113" s="3">
        <f t="shared" si="13"/>
        <v>-2143943000000</v>
      </c>
      <c r="F113" s="3">
        <v>20534632000000</v>
      </c>
      <c r="G113" s="15">
        <f t="shared" si="14"/>
        <v>-0.1044062050880678</v>
      </c>
      <c r="H113" s="16">
        <f t="shared" si="15"/>
        <v>4.8698218697077213E-14</v>
      </c>
      <c r="I113" s="3">
        <v>39545959000000</v>
      </c>
      <c r="J113" s="3">
        <v>42972474000000</v>
      </c>
      <c r="K113" s="3">
        <f t="shared" si="16"/>
        <v>-3426515000000</v>
      </c>
      <c r="L113" s="15">
        <f t="shared" si="17"/>
        <v>-0.16686517683881552</v>
      </c>
      <c r="M113" s="3">
        <v>10102086000000</v>
      </c>
      <c r="N113" s="15">
        <f t="shared" si="18"/>
        <v>0.49195359332468191</v>
      </c>
      <c r="O113" s="16">
        <v>0.11600000000000001</v>
      </c>
      <c r="P113" s="16">
        <v>0.25700000000000001</v>
      </c>
      <c r="Q113" s="16">
        <v>-0.25900000000000001</v>
      </c>
      <c r="R113" s="3">
        <f>4136690000000+379865000000+52939000000+68645000000</f>
        <v>4638139000000</v>
      </c>
      <c r="S113" s="3">
        <f>4978160000000+317128000000+70109000000+47957000000</f>
        <v>5413354000000</v>
      </c>
      <c r="T113" s="3">
        <f t="shared" si="19"/>
        <v>-775215000000</v>
      </c>
      <c r="U113" s="15">
        <f t="shared" si="20"/>
        <v>-0.1291135872315608</v>
      </c>
      <c r="V113" s="16">
        <f t="shared" si="21"/>
        <v>5.6489933688609571E-15</v>
      </c>
      <c r="W113" s="16">
        <f t="shared" si="22"/>
        <v>-3.3182191918511128E-2</v>
      </c>
      <c r="X113" s="16">
        <f t="shared" si="23"/>
        <v>-0.12741598067109261</v>
      </c>
      <c r="Y113" s="15">
        <f t="shared" si="24"/>
        <v>-0.16059817258959808</v>
      </c>
      <c r="Z113" s="47">
        <f t="shared" si="25"/>
        <v>5.6191967501530271E-2</v>
      </c>
    </row>
    <row r="114" spans="1:26" x14ac:dyDescent="0.25">
      <c r="A114" s="2"/>
      <c r="B114" s="12">
        <v>2022</v>
      </c>
      <c r="C114" s="3">
        <v>5364761000000</v>
      </c>
      <c r="D114" s="3">
        <v>8061314000000</v>
      </c>
      <c r="E114" s="3">
        <f t="shared" si="13"/>
        <v>-2696553000000</v>
      </c>
      <c r="F114" s="3">
        <v>19068532000000</v>
      </c>
      <c r="G114" s="15">
        <f t="shared" si="14"/>
        <v>-0.14141377007941672</v>
      </c>
      <c r="H114" s="16">
        <f t="shared" si="15"/>
        <v>5.2442421891732408E-14</v>
      </c>
      <c r="I114" s="3">
        <v>41218881000000</v>
      </c>
      <c r="J114" s="3">
        <v>39545959000000</v>
      </c>
      <c r="K114" s="3">
        <f t="shared" si="16"/>
        <v>1672922000000</v>
      </c>
      <c r="L114" s="15">
        <f t="shared" si="17"/>
        <v>8.7732081315960761E-2</v>
      </c>
      <c r="M114" s="3">
        <v>9536027000000</v>
      </c>
      <c r="N114" s="15">
        <f t="shared" si="18"/>
        <v>0.50009235110495132</v>
      </c>
      <c r="O114" s="16">
        <v>0.11600000000000001</v>
      </c>
      <c r="P114" s="16">
        <v>0.25700000000000001</v>
      </c>
      <c r="Q114" s="16">
        <v>-0.25900000000000001</v>
      </c>
      <c r="R114" s="3">
        <f>3507072000000+417427000000+212065000000+74246000000</f>
        <v>4210810000000</v>
      </c>
      <c r="S114" s="3">
        <f>4136690000000+379865000000+52939000000+68645000000</f>
        <v>4638139000000</v>
      </c>
      <c r="T114" s="3">
        <f t="shared" si="19"/>
        <v>-427329000000</v>
      </c>
      <c r="U114" s="15">
        <f t="shared" si="20"/>
        <v>0.11014224902053289</v>
      </c>
      <c r="V114" s="16">
        <f t="shared" si="21"/>
        <v>6.0833209394409598E-15</v>
      </c>
      <c r="W114" s="16">
        <f t="shared" si="22"/>
        <v>2.8306557998276954E-2</v>
      </c>
      <c r="X114" s="16">
        <f t="shared" si="23"/>
        <v>-0.1295239189361824</v>
      </c>
      <c r="Y114" s="15">
        <f t="shared" si="24"/>
        <v>-0.10121736093789936</v>
      </c>
      <c r="Z114" s="47">
        <f t="shared" si="25"/>
        <v>-4.0196409141517356E-2</v>
      </c>
    </row>
    <row r="115" spans="1:26" x14ac:dyDescent="0.25">
      <c r="A115" s="2"/>
      <c r="B115" s="12">
        <v>2023</v>
      </c>
      <c r="C115" s="3">
        <v>4800940000000</v>
      </c>
      <c r="D115" s="3">
        <v>7118088000000</v>
      </c>
      <c r="E115" s="3">
        <f t="shared" si="13"/>
        <v>-2317148000000</v>
      </c>
      <c r="F115" s="3">
        <v>18318114000000</v>
      </c>
      <c r="G115" s="15">
        <f t="shared" si="14"/>
        <v>-0.1264949000754117</v>
      </c>
      <c r="H115" s="16">
        <f t="shared" si="15"/>
        <v>5.4590772827377314E-14</v>
      </c>
      <c r="I115" s="3">
        <v>38611401000000</v>
      </c>
      <c r="J115" s="3">
        <v>41218881000000</v>
      </c>
      <c r="K115" s="3">
        <f t="shared" si="16"/>
        <v>-2607480000000</v>
      </c>
      <c r="L115" s="15">
        <f t="shared" si="17"/>
        <v>-0.1423443483319298</v>
      </c>
      <c r="M115" s="3">
        <v>9310734000000</v>
      </c>
      <c r="N115" s="15">
        <f t="shared" si="18"/>
        <v>0.50828016465013814</v>
      </c>
      <c r="O115" s="16">
        <v>0.11600000000000001</v>
      </c>
      <c r="P115" s="16">
        <v>0.25700000000000001</v>
      </c>
      <c r="Q115" s="16">
        <v>-0.25900000000000001</v>
      </c>
      <c r="R115" s="3">
        <f>2104729000000+238283000000+231564000000+23074000000</f>
        <v>2597650000000</v>
      </c>
      <c r="S115" s="3">
        <f>3507072000000+417427000000+212065000000+74246000000</f>
        <v>4210810000000</v>
      </c>
      <c r="T115" s="3">
        <f t="shared" si="19"/>
        <v>-1613160000000</v>
      </c>
      <c r="U115" s="15">
        <f t="shared" si="20"/>
        <v>-5.4280697237717813E-2</v>
      </c>
      <c r="V115" s="16">
        <f t="shared" si="21"/>
        <v>6.3325296479757684E-15</v>
      </c>
      <c r="W115" s="16">
        <f t="shared" si="22"/>
        <v>-1.3950139190093478E-2</v>
      </c>
      <c r="X115" s="16">
        <f t="shared" si="23"/>
        <v>-0.13164456264438579</v>
      </c>
      <c r="Y115" s="15">
        <f t="shared" si="24"/>
        <v>-0.14559470183447293</v>
      </c>
      <c r="Z115" s="47">
        <f t="shared" si="25"/>
        <v>1.909980175906123E-2</v>
      </c>
    </row>
    <row r="116" spans="1:26" x14ac:dyDescent="0.25">
      <c r="A116" s="2" t="s">
        <v>59</v>
      </c>
      <c r="B116" s="12">
        <v>2021</v>
      </c>
      <c r="C116" s="3">
        <v>180711667020</v>
      </c>
      <c r="D116" s="3">
        <v>232746845618</v>
      </c>
      <c r="E116" s="3">
        <f t="shared" si="13"/>
        <v>-52035178598</v>
      </c>
      <c r="F116" s="3">
        <v>1310940121622</v>
      </c>
      <c r="G116" s="15">
        <f t="shared" si="14"/>
        <v>-3.9693024677296407E-2</v>
      </c>
      <c r="H116" s="16">
        <f t="shared" si="15"/>
        <v>7.6281134699174508E-13</v>
      </c>
      <c r="I116" s="3">
        <v>1103519743574</v>
      </c>
      <c r="J116" s="3">
        <v>972634784176</v>
      </c>
      <c r="K116" s="3">
        <f t="shared" si="16"/>
        <v>130884959398</v>
      </c>
      <c r="L116" s="15">
        <f t="shared" si="17"/>
        <v>9.9840532179348254E-2</v>
      </c>
      <c r="M116" s="3">
        <v>1145233605689</v>
      </c>
      <c r="N116" s="15">
        <f t="shared" si="18"/>
        <v>0.87359718937583919</v>
      </c>
      <c r="O116" s="16">
        <v>0.11600000000000001</v>
      </c>
      <c r="P116" s="16">
        <v>0.25700000000000001</v>
      </c>
      <c r="Q116" s="16">
        <v>-0.25900000000000001</v>
      </c>
      <c r="R116" s="3">
        <f>1070094297+46178521911+979738469</f>
        <v>48228354677</v>
      </c>
      <c r="S116" s="3">
        <f>111695585232+7611850597+534164540</f>
        <v>119841600369</v>
      </c>
      <c r="T116" s="3">
        <f t="shared" si="19"/>
        <v>-71613245692</v>
      </c>
      <c r="U116" s="15">
        <f t="shared" si="20"/>
        <v>0.15446792858811356</v>
      </c>
      <c r="V116" s="16">
        <f t="shared" si="21"/>
        <v>8.8486116251042439E-14</v>
      </c>
      <c r="W116" s="16">
        <f t="shared" si="22"/>
        <v>3.9698257647145185E-2</v>
      </c>
      <c r="X116" s="16">
        <f t="shared" si="23"/>
        <v>-0.22626167204834235</v>
      </c>
      <c r="Y116" s="15">
        <f t="shared" si="24"/>
        <v>-0.18656341440110868</v>
      </c>
      <c r="Z116" s="47">
        <f t="shared" si="25"/>
        <v>0.14687038972381228</v>
      </c>
    </row>
    <row r="117" spans="1:26" x14ac:dyDescent="0.25">
      <c r="A117" s="2"/>
      <c r="B117" s="12">
        <v>2022</v>
      </c>
      <c r="C117" s="3">
        <v>195598848689</v>
      </c>
      <c r="D117" s="3">
        <v>190077226164</v>
      </c>
      <c r="E117" s="3">
        <f t="shared" si="13"/>
        <v>5521622525</v>
      </c>
      <c r="F117" s="3">
        <v>1425031081176</v>
      </c>
      <c r="G117" s="15">
        <f t="shared" si="14"/>
        <v>3.8747383112818197E-3</v>
      </c>
      <c r="H117" s="16">
        <f t="shared" si="15"/>
        <v>7.0173908008711984E-13</v>
      </c>
      <c r="I117" s="3">
        <v>1358708497805</v>
      </c>
      <c r="J117" s="3">
        <v>1103519743574</v>
      </c>
      <c r="K117" s="3">
        <f t="shared" si="16"/>
        <v>255188754231</v>
      </c>
      <c r="L117" s="15">
        <f t="shared" si="17"/>
        <v>0.17907592164264005</v>
      </c>
      <c r="M117" s="3">
        <v>1372642123456</v>
      </c>
      <c r="N117" s="15">
        <f t="shared" si="18"/>
        <v>0.96323662100284424</v>
      </c>
      <c r="O117" s="16">
        <v>0.11600000000000001</v>
      </c>
      <c r="P117" s="16">
        <v>0.25700000000000001</v>
      </c>
      <c r="Q117" s="16">
        <v>-0.25900000000000001</v>
      </c>
      <c r="R117" s="3">
        <f>2892762662+62160623062</f>
        <v>65053385724</v>
      </c>
      <c r="S117" s="3">
        <f>1070094297+46178521911+979738469</f>
        <v>48228354677</v>
      </c>
      <c r="T117" s="3">
        <f t="shared" si="19"/>
        <v>16825031047</v>
      </c>
      <c r="U117" s="15">
        <f t="shared" si="20"/>
        <v>0.16726913983328104</v>
      </c>
      <c r="V117" s="16">
        <f t="shared" si="21"/>
        <v>8.1401733290105904E-14</v>
      </c>
      <c r="W117" s="16">
        <f t="shared" si="22"/>
        <v>4.298816893715323E-2</v>
      </c>
      <c r="X117" s="16">
        <f t="shared" si="23"/>
        <v>-0.24947828483973666</v>
      </c>
      <c r="Y117" s="15">
        <f t="shared" si="24"/>
        <v>-0.20649011590250205</v>
      </c>
      <c r="Z117" s="47">
        <f t="shared" si="25"/>
        <v>0.21036485421378387</v>
      </c>
    </row>
    <row r="118" spans="1:26" x14ac:dyDescent="0.25">
      <c r="A118" s="2"/>
      <c r="B118" s="12">
        <v>2023</v>
      </c>
      <c r="C118" s="3">
        <v>324092143202</v>
      </c>
      <c r="D118" s="3">
        <v>487763293949</v>
      </c>
      <c r="E118" s="3">
        <f t="shared" si="13"/>
        <v>-163671150747</v>
      </c>
      <c r="F118" s="3">
        <v>1790304606780</v>
      </c>
      <c r="G118" s="15">
        <f t="shared" si="14"/>
        <v>-9.1420839854383831E-2</v>
      </c>
      <c r="H118" s="16">
        <f t="shared" si="15"/>
        <v>5.5856416623904951E-13</v>
      </c>
      <c r="I118" s="3">
        <v>2090115884030</v>
      </c>
      <c r="J118" s="3">
        <v>1358708497805</v>
      </c>
      <c r="K118" s="3">
        <f t="shared" si="16"/>
        <v>731407386225</v>
      </c>
      <c r="L118" s="15">
        <f t="shared" si="17"/>
        <v>0.40853795686784955</v>
      </c>
      <c r="M118" s="3">
        <v>1610131574095</v>
      </c>
      <c r="N118" s="15">
        <f t="shared" si="18"/>
        <v>0.89936180021954193</v>
      </c>
      <c r="O118" s="16">
        <v>0.11600000000000001</v>
      </c>
      <c r="P118" s="16">
        <v>0.25700000000000001</v>
      </c>
      <c r="Q118" s="16">
        <v>-0.25900000000000001</v>
      </c>
      <c r="R118" s="3">
        <f>452574655+66973048683+1072020413</f>
        <v>68497643751</v>
      </c>
      <c r="S118" s="3">
        <f>2892762662+62160623062</f>
        <v>65053385724</v>
      </c>
      <c r="T118" s="3">
        <f t="shared" si="19"/>
        <v>3444258027</v>
      </c>
      <c r="U118" s="15">
        <f t="shared" si="20"/>
        <v>0.40661411775468614</v>
      </c>
      <c r="V118" s="16">
        <f t="shared" si="21"/>
        <v>6.479344328372974E-14</v>
      </c>
      <c r="W118" s="16">
        <f t="shared" si="22"/>
        <v>0.10449982826295434</v>
      </c>
      <c r="X118" s="16">
        <f t="shared" si="23"/>
        <v>-0.23293470625686136</v>
      </c>
      <c r="Y118" s="15">
        <f t="shared" si="24"/>
        <v>-0.12843487799384223</v>
      </c>
      <c r="Z118" s="47">
        <f t="shared" si="25"/>
        <v>3.7014038139458402E-2</v>
      </c>
    </row>
    <row r="119" spans="1:26" x14ac:dyDescent="0.25">
      <c r="A119" s="2" t="s">
        <v>60</v>
      </c>
      <c r="B119" s="12">
        <v>2021</v>
      </c>
      <c r="C119" s="3">
        <v>99278807290</v>
      </c>
      <c r="D119" s="3">
        <v>213482549779</v>
      </c>
      <c r="E119" s="3">
        <f t="shared" si="13"/>
        <v>-114203742489</v>
      </c>
      <c r="F119" s="3">
        <v>1086873666641</v>
      </c>
      <c r="G119" s="15">
        <f t="shared" si="14"/>
        <v>-0.10507545264386471</v>
      </c>
      <c r="H119" s="16">
        <f t="shared" si="15"/>
        <v>9.2007013390113286E-13</v>
      </c>
      <c r="I119" s="3">
        <v>1019133657275</v>
      </c>
      <c r="J119" s="3">
        <v>956634474111</v>
      </c>
      <c r="K119" s="3">
        <f t="shared" si="16"/>
        <v>62499183164</v>
      </c>
      <c r="L119" s="15">
        <f t="shared" si="17"/>
        <v>5.7503631822412901E-2</v>
      </c>
      <c r="M119" s="3">
        <v>198170686974</v>
      </c>
      <c r="N119" s="15">
        <f t="shared" si="18"/>
        <v>0.18233093049944765</v>
      </c>
      <c r="O119" s="16">
        <v>0.11600000000000001</v>
      </c>
      <c r="P119" s="16">
        <v>0.25700000000000001</v>
      </c>
      <c r="Q119" s="16">
        <v>-0.25900000000000001</v>
      </c>
      <c r="R119" s="3">
        <f>110549359898+1807385109</f>
        <v>112356745007</v>
      </c>
      <c r="S119" s="3">
        <f>124395919918+2326183537</f>
        <v>126722103455</v>
      </c>
      <c r="T119" s="3">
        <f t="shared" si="19"/>
        <v>-14365358448</v>
      </c>
      <c r="U119" s="15">
        <f t="shared" si="20"/>
        <v>7.0720769093202032E-2</v>
      </c>
      <c r="V119" s="16">
        <f t="shared" si="21"/>
        <v>1.0672813553253141E-13</v>
      </c>
      <c r="W119" s="16">
        <f t="shared" si="22"/>
        <v>1.8175237656952923E-2</v>
      </c>
      <c r="X119" s="16">
        <f t="shared" si="23"/>
        <v>-4.7223710999356946E-2</v>
      </c>
      <c r="Y119" s="15">
        <f t="shared" si="24"/>
        <v>-2.9048473342297296E-2</v>
      </c>
      <c r="Z119" s="47">
        <f t="shared" si="25"/>
        <v>-7.6026979301567418E-2</v>
      </c>
    </row>
    <row r="120" spans="1:26" x14ac:dyDescent="0.25">
      <c r="A120" s="2"/>
      <c r="B120" s="12">
        <v>2022</v>
      </c>
      <c r="C120" s="3">
        <v>121257336904</v>
      </c>
      <c r="D120" s="3">
        <v>178373991059</v>
      </c>
      <c r="E120" s="3">
        <f t="shared" si="13"/>
        <v>-57116654155</v>
      </c>
      <c r="F120" s="3">
        <v>1146235578463</v>
      </c>
      <c r="G120" s="15">
        <f t="shared" si="14"/>
        <v>-4.982976905287511E-2</v>
      </c>
      <c r="H120" s="16">
        <f t="shared" si="15"/>
        <v>8.7242100907468872E-13</v>
      </c>
      <c r="I120" s="3">
        <v>1129360552136</v>
      </c>
      <c r="J120" s="3">
        <v>1019133657275</v>
      </c>
      <c r="K120" s="3">
        <f t="shared" si="16"/>
        <v>110226894861</v>
      </c>
      <c r="L120" s="15">
        <f t="shared" si="17"/>
        <v>9.6164258841803241E-2</v>
      </c>
      <c r="M120" s="3">
        <v>223673837741</v>
      </c>
      <c r="N120" s="15">
        <f t="shared" si="18"/>
        <v>0.19513775522561141</v>
      </c>
      <c r="O120" s="16">
        <v>0.11600000000000001</v>
      </c>
      <c r="P120" s="16">
        <v>0.25700000000000001</v>
      </c>
      <c r="Q120" s="16">
        <v>-0.25900000000000001</v>
      </c>
      <c r="R120" s="3">
        <f>126820874647+822946142</f>
        <v>127643820789</v>
      </c>
      <c r="S120" s="3">
        <f>110549359898+1807385109</f>
        <v>112356745007</v>
      </c>
      <c r="T120" s="3">
        <f t="shared" si="19"/>
        <v>15287075782</v>
      </c>
      <c r="U120" s="15">
        <f t="shared" si="20"/>
        <v>8.2827492762269569E-2</v>
      </c>
      <c r="V120" s="16">
        <f t="shared" si="21"/>
        <v>1.0120083705266389E-13</v>
      </c>
      <c r="W120" s="16">
        <f t="shared" si="22"/>
        <v>2.1286665639903279E-2</v>
      </c>
      <c r="X120" s="16">
        <f t="shared" si="23"/>
        <v>-5.0540678603433357E-2</v>
      </c>
      <c r="Y120" s="15">
        <f t="shared" si="24"/>
        <v>-2.9254012963428878E-2</v>
      </c>
      <c r="Z120" s="47">
        <f t="shared" si="25"/>
        <v>-2.0575756089446232E-2</v>
      </c>
    </row>
    <row r="121" spans="1:26" x14ac:dyDescent="0.25">
      <c r="A121" s="2"/>
      <c r="B121" s="12">
        <v>2023</v>
      </c>
      <c r="C121" s="3">
        <v>127426464539</v>
      </c>
      <c r="D121" s="3">
        <v>201470972367</v>
      </c>
      <c r="E121" s="3">
        <f t="shared" si="13"/>
        <v>-74044507828</v>
      </c>
      <c r="F121" s="3">
        <v>1074777460412</v>
      </c>
      <c r="G121" s="15">
        <f t="shared" si="14"/>
        <v>-6.8892873692769974E-2</v>
      </c>
      <c r="H121" s="16">
        <f t="shared" si="15"/>
        <v>9.3042516877555732E-13</v>
      </c>
      <c r="I121" s="3">
        <v>1135790489555</v>
      </c>
      <c r="J121" s="3">
        <v>1129360552136</v>
      </c>
      <c r="K121" s="3">
        <f t="shared" si="16"/>
        <v>6429937419</v>
      </c>
      <c r="L121" s="15">
        <f t="shared" si="17"/>
        <v>5.9825756082893464E-3</v>
      </c>
      <c r="M121" s="3">
        <v>328169901126</v>
      </c>
      <c r="N121" s="15">
        <f t="shared" si="18"/>
        <v>0.3053375356422165</v>
      </c>
      <c r="O121" s="16">
        <v>0.11600000000000001</v>
      </c>
      <c r="P121" s="16">
        <v>0.25700000000000001</v>
      </c>
      <c r="Q121" s="16">
        <v>-0.25900000000000001</v>
      </c>
      <c r="R121" s="3">
        <f>124423224182+903153685</f>
        <v>125326377867</v>
      </c>
      <c r="S121" s="3">
        <f>126820874647+822946142</f>
        <v>127643820789</v>
      </c>
      <c r="T121" s="3">
        <f t="shared" si="19"/>
        <v>-2317442922</v>
      </c>
      <c r="U121" s="15">
        <f t="shared" si="20"/>
        <v>8.138782830118917E-3</v>
      </c>
      <c r="V121" s="16">
        <f t="shared" si="21"/>
        <v>1.0792931957796465E-13</v>
      </c>
      <c r="W121" s="16">
        <f t="shared" si="22"/>
        <v>2.0916671873405616E-3</v>
      </c>
      <c r="X121" s="16">
        <f t="shared" si="23"/>
        <v>-7.9082421731334077E-2</v>
      </c>
      <c r="Y121" s="15">
        <f t="shared" si="24"/>
        <v>-7.6990754543885584E-2</v>
      </c>
      <c r="Z121" s="47">
        <f t="shared" si="25"/>
        <v>8.0978808511156103E-3</v>
      </c>
    </row>
    <row r="122" spans="1:26" x14ac:dyDescent="0.25">
      <c r="A122" s="2" t="s">
        <v>61</v>
      </c>
      <c r="B122" s="12">
        <v>2021</v>
      </c>
      <c r="C122" s="3">
        <v>18368616642</v>
      </c>
      <c r="D122" s="3">
        <v>45584772931</v>
      </c>
      <c r="E122" s="3">
        <f t="shared" si="13"/>
        <v>-27216156289</v>
      </c>
      <c r="F122" s="3">
        <v>505077168839</v>
      </c>
      <c r="G122" s="15">
        <f t="shared" si="14"/>
        <v>-5.3885144623663457E-2</v>
      </c>
      <c r="H122" s="16">
        <f t="shared" si="15"/>
        <v>1.9798954728020247E-12</v>
      </c>
      <c r="I122" s="3">
        <v>238398863725</v>
      </c>
      <c r="J122" s="3">
        <v>224296360636</v>
      </c>
      <c r="K122" s="3">
        <f t="shared" si="16"/>
        <v>14102503089</v>
      </c>
      <c r="L122" s="15">
        <f t="shared" si="17"/>
        <v>2.7921482021087671E-2</v>
      </c>
      <c r="M122" s="3">
        <v>384180793400</v>
      </c>
      <c r="N122" s="15">
        <f t="shared" si="18"/>
        <v>0.76063781359015004</v>
      </c>
      <c r="O122" s="16">
        <v>0.11600000000000001</v>
      </c>
      <c r="P122" s="16">
        <v>0.25700000000000001</v>
      </c>
      <c r="Q122" s="16">
        <v>-0.25900000000000001</v>
      </c>
      <c r="R122" s="3">
        <v>14844577500</v>
      </c>
      <c r="S122" s="3">
        <v>5133381633</v>
      </c>
      <c r="T122" s="3">
        <f t="shared" si="19"/>
        <v>9711195867</v>
      </c>
      <c r="U122" s="15">
        <f t="shared" si="20"/>
        <v>8.6943292885206351E-3</v>
      </c>
      <c r="V122" s="16">
        <f t="shared" si="21"/>
        <v>2.2966787484503486E-13</v>
      </c>
      <c r="W122" s="16">
        <f t="shared" si="22"/>
        <v>2.2344426271498031E-3</v>
      </c>
      <c r="X122" s="16">
        <f t="shared" si="23"/>
        <v>-0.19700519371984887</v>
      </c>
      <c r="Y122" s="15">
        <f t="shared" si="24"/>
        <v>-0.19477075109246939</v>
      </c>
      <c r="Z122" s="47">
        <f t="shared" si="25"/>
        <v>0.14088560646880594</v>
      </c>
    </row>
    <row r="123" spans="1:26" x14ac:dyDescent="0.25">
      <c r="A123" s="2"/>
      <c r="B123" s="12">
        <v>2022</v>
      </c>
      <c r="C123" s="3">
        <v>23952323176</v>
      </c>
      <c r="D123" s="3">
        <v>31371142434</v>
      </c>
      <c r="E123" s="3">
        <f t="shared" si="13"/>
        <v>-7418819258</v>
      </c>
      <c r="F123" s="3">
        <v>526704173504</v>
      </c>
      <c r="G123" s="15">
        <f t="shared" si="14"/>
        <v>-1.4085362583411651E-2</v>
      </c>
      <c r="H123" s="16">
        <f t="shared" si="15"/>
        <v>1.8985989675139826E-12</v>
      </c>
      <c r="I123" s="3">
        <v>279179553590</v>
      </c>
      <c r="J123" s="3">
        <v>238398863725</v>
      </c>
      <c r="K123" s="3">
        <f t="shared" si="16"/>
        <v>40780689865</v>
      </c>
      <c r="L123" s="15">
        <f t="shared" si="17"/>
        <v>7.7426175672196937E-2</v>
      </c>
      <c r="M123" s="3">
        <v>394722927720</v>
      </c>
      <c r="N123" s="15">
        <f t="shared" si="18"/>
        <v>0.74942054302328842</v>
      </c>
      <c r="O123" s="16">
        <v>0.11600000000000001</v>
      </c>
      <c r="P123" s="16">
        <v>0.25700000000000001</v>
      </c>
      <c r="Q123" s="16">
        <v>-0.25900000000000001</v>
      </c>
      <c r="R123" s="3">
        <v>6329896725</v>
      </c>
      <c r="S123" s="3">
        <v>14844577500</v>
      </c>
      <c r="T123" s="3">
        <f t="shared" si="19"/>
        <v>-8514680775</v>
      </c>
      <c r="U123" s="15">
        <f t="shared" si="20"/>
        <v>9.359213980032309E-2</v>
      </c>
      <c r="V123" s="16">
        <f t="shared" si="21"/>
        <v>2.2023748023162198E-13</v>
      </c>
      <c r="W123" s="16">
        <f t="shared" si="22"/>
        <v>2.4053179928683034E-2</v>
      </c>
      <c r="X123" s="16">
        <f t="shared" si="23"/>
        <v>-0.19409992064303172</v>
      </c>
      <c r="Y123" s="15">
        <f t="shared" si="24"/>
        <v>-0.17004674071412845</v>
      </c>
      <c r="Z123" s="47">
        <f t="shared" si="25"/>
        <v>0.15596137813071681</v>
      </c>
    </row>
    <row r="124" spans="1:26" x14ac:dyDescent="0.25">
      <c r="A124" s="2"/>
      <c r="B124" s="12">
        <v>2023</v>
      </c>
      <c r="C124" s="3">
        <v>26963627275</v>
      </c>
      <c r="D124" s="3">
        <v>67991529561</v>
      </c>
      <c r="E124" s="3">
        <f t="shared" si="13"/>
        <v>-41027902286</v>
      </c>
      <c r="F124" s="3">
        <v>553207312282</v>
      </c>
      <c r="G124" s="15">
        <f t="shared" si="14"/>
        <v>-7.4163702060911732E-2</v>
      </c>
      <c r="H124" s="16">
        <f t="shared" si="15"/>
        <v>1.8076406037999826E-12</v>
      </c>
      <c r="I124" s="3">
        <v>303928233031</v>
      </c>
      <c r="J124" s="3">
        <v>279179553590</v>
      </c>
      <c r="K124" s="3">
        <f t="shared" si="16"/>
        <v>24748679441</v>
      </c>
      <c r="L124" s="15">
        <f t="shared" si="17"/>
        <v>4.4736717847981458E-2</v>
      </c>
      <c r="M124" s="3">
        <v>415182742910</v>
      </c>
      <c r="N124" s="15">
        <f t="shared" si="18"/>
        <v>0.75050118408116528</v>
      </c>
      <c r="O124" s="16">
        <v>0.11600000000000001</v>
      </c>
      <c r="P124" s="16">
        <v>0.25700000000000001</v>
      </c>
      <c r="Q124" s="16">
        <v>-0.25900000000000001</v>
      </c>
      <c r="R124" s="3">
        <v>8119917500</v>
      </c>
      <c r="S124" s="3">
        <v>6329896725</v>
      </c>
      <c r="T124" s="3">
        <f t="shared" si="19"/>
        <v>1790020775</v>
      </c>
      <c r="U124" s="15">
        <f t="shared" si="20"/>
        <v>4.1501003613445941E-2</v>
      </c>
      <c r="V124" s="16">
        <f t="shared" si="21"/>
        <v>2.09686310040798E-13</v>
      </c>
      <c r="W124" s="16">
        <f t="shared" si="22"/>
        <v>1.0665757928655607E-2</v>
      </c>
      <c r="X124" s="16">
        <f t="shared" si="23"/>
        <v>-0.19437980667702182</v>
      </c>
      <c r="Y124" s="15">
        <f t="shared" si="24"/>
        <v>-0.18371404874815653</v>
      </c>
      <c r="Z124" s="47">
        <f t="shared" si="25"/>
        <v>0.1095503466872448</v>
      </c>
    </row>
    <row r="125" spans="1:26" x14ac:dyDescent="0.25">
      <c r="A125" s="2" t="s">
        <v>62</v>
      </c>
      <c r="B125" s="12">
        <v>2021</v>
      </c>
      <c r="C125" s="3">
        <v>213841959820</v>
      </c>
      <c r="D125" s="3">
        <v>369004599899</v>
      </c>
      <c r="E125" s="3">
        <f t="shared" si="13"/>
        <v>-155162640079</v>
      </c>
      <c r="F125" s="3">
        <v>3401723398441</v>
      </c>
      <c r="G125" s="15">
        <f t="shared" si="14"/>
        <v>-4.5612950232846852E-2</v>
      </c>
      <c r="H125" s="16">
        <f t="shared" si="15"/>
        <v>2.9396863967784597E-13</v>
      </c>
      <c r="I125" s="3">
        <v>1766254650794</v>
      </c>
      <c r="J125" s="3">
        <v>930503571803</v>
      </c>
      <c r="K125" s="3">
        <f t="shared" si="16"/>
        <v>835751078991</v>
      </c>
      <c r="L125" s="15">
        <f t="shared" si="17"/>
        <v>0.24568460780027626</v>
      </c>
      <c r="M125" s="3">
        <v>971692187639</v>
      </c>
      <c r="N125" s="15">
        <f t="shared" si="18"/>
        <v>0.28564703058582708</v>
      </c>
      <c r="O125" s="16">
        <v>0.11600000000000001</v>
      </c>
      <c r="P125" s="16">
        <v>0.25700000000000001</v>
      </c>
      <c r="Q125" s="16">
        <v>-0.25900000000000001</v>
      </c>
      <c r="R125" s="3">
        <f>154862853172+2114762776+657889</f>
        <v>156978273837</v>
      </c>
      <c r="S125" s="3">
        <f>32675472987+1865390260</f>
        <v>34540863247</v>
      </c>
      <c r="T125" s="3">
        <f t="shared" si="19"/>
        <v>122437410590</v>
      </c>
      <c r="U125" s="15">
        <f t="shared" si="20"/>
        <v>0.20969184876345606</v>
      </c>
      <c r="V125" s="16">
        <f t="shared" si="21"/>
        <v>3.4100362202630137E-14</v>
      </c>
      <c r="W125" s="16">
        <f t="shared" si="22"/>
        <v>5.389080513220821E-2</v>
      </c>
      <c r="X125" s="16">
        <f t="shared" si="23"/>
        <v>-7.3982580921729213E-2</v>
      </c>
      <c r="Y125" s="15">
        <f t="shared" si="24"/>
        <v>-2.0091775789486906E-2</v>
      </c>
      <c r="Z125" s="47">
        <f t="shared" si="25"/>
        <v>-2.5521174443359947E-2</v>
      </c>
    </row>
    <row r="126" spans="1:26" x14ac:dyDescent="0.25">
      <c r="A126" s="2"/>
      <c r="B126" s="12">
        <v>2022</v>
      </c>
      <c r="C126" s="3">
        <v>257682130697</v>
      </c>
      <c r="D126" s="3">
        <v>534655519938</v>
      </c>
      <c r="E126" s="3">
        <f t="shared" si="13"/>
        <v>-276973389241</v>
      </c>
      <c r="F126" s="3">
        <v>3731907652769</v>
      </c>
      <c r="G126" s="15">
        <f t="shared" si="14"/>
        <v>-7.4217642828190392E-2</v>
      </c>
      <c r="H126" s="16">
        <f t="shared" si="15"/>
        <v>2.6795947087758729E-13</v>
      </c>
      <c r="I126" s="3">
        <v>1972824875264</v>
      </c>
      <c r="J126" s="3">
        <v>1766254650794</v>
      </c>
      <c r="K126" s="3">
        <f t="shared" si="16"/>
        <v>206570224470</v>
      </c>
      <c r="L126" s="15">
        <f t="shared" si="17"/>
        <v>5.5352448048045635E-2</v>
      </c>
      <c r="M126" s="3">
        <v>1108936889645</v>
      </c>
      <c r="N126" s="15">
        <f t="shared" si="18"/>
        <v>0.29715014218591163</v>
      </c>
      <c r="O126" s="16">
        <v>0.11600000000000001</v>
      </c>
      <c r="P126" s="16">
        <v>0.25700000000000001</v>
      </c>
      <c r="Q126" s="16">
        <v>-0.25900000000000001</v>
      </c>
      <c r="R126" s="3">
        <f>63233660124+17519179875</f>
        <v>80752839999</v>
      </c>
      <c r="S126" s="3">
        <f>154862853172+2114762776+657889</f>
        <v>156978273837</v>
      </c>
      <c r="T126" s="3">
        <f t="shared" si="19"/>
        <v>-76225433838</v>
      </c>
      <c r="U126" s="15">
        <f t="shared" si="20"/>
        <v>7.577777496669065E-2</v>
      </c>
      <c r="V126" s="16">
        <f t="shared" si="21"/>
        <v>3.1083298621800125E-14</v>
      </c>
      <c r="W126" s="16">
        <f t="shared" si="22"/>
        <v>1.9474888166439497E-2</v>
      </c>
      <c r="X126" s="16">
        <f t="shared" si="23"/>
        <v>-7.6961886826151113E-2</v>
      </c>
      <c r="Y126" s="15">
        <f t="shared" si="24"/>
        <v>-5.748699865968053E-2</v>
      </c>
      <c r="Z126" s="47">
        <f t="shared" si="25"/>
        <v>-1.6730644168509862E-2</v>
      </c>
    </row>
    <row r="127" spans="1:26" x14ac:dyDescent="0.25">
      <c r="A127" s="2"/>
      <c r="B127" s="12">
        <v>2023</v>
      </c>
      <c r="C127" s="3">
        <v>549244004886</v>
      </c>
      <c r="D127" s="3">
        <v>672217912692</v>
      </c>
      <c r="E127" s="3">
        <f t="shared" si="13"/>
        <v>-122973907806</v>
      </c>
      <c r="F127" s="3">
        <v>4140857067187</v>
      </c>
      <c r="G127" s="15">
        <f t="shared" si="14"/>
        <v>-2.9697694417049659E-2</v>
      </c>
      <c r="H127" s="16">
        <f t="shared" si="15"/>
        <v>2.4149589898289534E-13</v>
      </c>
      <c r="I127" s="3">
        <v>2049487832334</v>
      </c>
      <c r="J127" s="3">
        <v>1972824875264</v>
      </c>
      <c r="K127" s="3">
        <f t="shared" si="16"/>
        <v>76662957070</v>
      </c>
      <c r="L127" s="15">
        <f t="shared" si="17"/>
        <v>1.8513789736306761E-2</v>
      </c>
      <c r="M127" s="3">
        <v>1041527142683</v>
      </c>
      <c r="N127" s="15">
        <f t="shared" si="18"/>
        <v>0.25152453363731736</v>
      </c>
      <c r="O127" s="16">
        <v>0.11600000000000001</v>
      </c>
      <c r="P127" s="16">
        <v>0.25700000000000001</v>
      </c>
      <c r="Q127" s="16">
        <v>-0.25900000000000001</v>
      </c>
      <c r="R127" s="3">
        <f>19211818078+27460441678</f>
        <v>46672259756</v>
      </c>
      <c r="S127" s="3">
        <f>63233660124+17519179875</f>
        <v>80752839999</v>
      </c>
      <c r="T127" s="3">
        <f t="shared" si="19"/>
        <v>-34080580243</v>
      </c>
      <c r="U127" s="15">
        <f t="shared" si="20"/>
        <v>2.6744110099948749E-2</v>
      </c>
      <c r="V127" s="16">
        <f t="shared" si="21"/>
        <v>2.801352428201586E-14</v>
      </c>
      <c r="W127" s="16">
        <f t="shared" si="22"/>
        <v>6.8732362956868288E-3</v>
      </c>
      <c r="X127" s="16">
        <f t="shared" si="23"/>
        <v>-6.5144854212065201E-2</v>
      </c>
      <c r="Y127" s="15">
        <f t="shared" si="24"/>
        <v>-5.8271617916350361E-2</v>
      </c>
      <c r="Z127" s="47">
        <f t="shared" si="25"/>
        <v>2.8573923499300703E-2</v>
      </c>
    </row>
    <row r="128" spans="1:26" x14ac:dyDescent="0.25">
      <c r="A128" s="2" t="s">
        <v>63</v>
      </c>
      <c r="B128" s="12">
        <v>2021</v>
      </c>
      <c r="C128" s="3">
        <v>480060000000</v>
      </c>
      <c r="D128" s="3">
        <v>795423000000</v>
      </c>
      <c r="E128" s="3">
        <f t="shared" ref="E128:E184" si="26">C128-D128</f>
        <v>-315363000000</v>
      </c>
      <c r="F128" s="3">
        <v>7644451000000</v>
      </c>
      <c r="G128" s="15">
        <f t="shared" ref="G128:G184" si="27">E128/F128</f>
        <v>-4.1253845436382545E-2</v>
      </c>
      <c r="H128" s="16">
        <f t="shared" ref="H128:H184" si="28">1/F128</f>
        <v>1.3081384130789772E-13</v>
      </c>
      <c r="I128" s="3">
        <v>9116592000000</v>
      </c>
      <c r="J128" s="3">
        <v>8433933000000</v>
      </c>
      <c r="K128" s="3">
        <f t="shared" ref="K128:K184" si="29">I128-J128</f>
        <v>682659000000</v>
      </c>
      <c r="L128" s="15">
        <f t="shared" ref="L128:L184" si="30">K128/F128</f>
        <v>8.9301246093408143E-2</v>
      </c>
      <c r="M128" s="3">
        <v>2505224000000</v>
      </c>
      <c r="N128" s="15">
        <f t="shared" ref="N128:N184" si="31">M128/F128</f>
        <v>0.32771797477673675</v>
      </c>
      <c r="O128" s="16">
        <v>0.11600000000000001</v>
      </c>
      <c r="P128" s="16">
        <v>0.25700000000000001</v>
      </c>
      <c r="Q128" s="16">
        <v>-0.25900000000000001</v>
      </c>
      <c r="R128" s="3">
        <f>244990000000+1914519000000+12529000000+8908000000</f>
        <v>2180946000000</v>
      </c>
      <c r="S128" s="3">
        <f>236228000000+1808584000000+15571000000+24663000000</f>
        <v>2085046000000</v>
      </c>
      <c r="T128" s="3">
        <f t="shared" ref="T128:T184" si="32">R128-S128</f>
        <v>95900000000</v>
      </c>
      <c r="U128" s="15">
        <f t="shared" ref="U128:U184" si="33">(K128-T128)/F128</f>
        <v>7.675619871198075E-2</v>
      </c>
      <c r="V128" s="16">
        <f t="shared" ref="V128:V184" si="34">O128*H128</f>
        <v>1.5174405591716136E-14</v>
      </c>
      <c r="W128" s="16">
        <f t="shared" ref="W128:W184" si="35">P128*U128</f>
        <v>1.9726343068979052E-2</v>
      </c>
      <c r="X128" s="16">
        <f t="shared" ref="X128:X184" si="36">Q128*N128</f>
        <v>-8.4878955467174819E-2</v>
      </c>
      <c r="Y128" s="15">
        <f t="shared" ref="Y128:Y183" si="37">V128+W128+X128</f>
        <v>-6.5152612398180598E-2</v>
      </c>
      <c r="Z128" s="47">
        <f t="shared" ref="Z128:Z184" si="38">G128-Y128</f>
        <v>2.3898766961798053E-2</v>
      </c>
    </row>
    <row r="129" spans="1:26" x14ac:dyDescent="0.25">
      <c r="A129" s="2"/>
      <c r="B129" s="12">
        <v>2022</v>
      </c>
      <c r="C129" s="3">
        <v>313648000000</v>
      </c>
      <c r="D129" s="3">
        <v>273361000000</v>
      </c>
      <c r="E129" s="3">
        <f t="shared" si="26"/>
        <v>40287000000</v>
      </c>
      <c r="F129" s="3">
        <v>7777887000000</v>
      </c>
      <c r="G129" s="15">
        <f t="shared" si="27"/>
        <v>5.1796844052889946E-3</v>
      </c>
      <c r="H129" s="16">
        <f t="shared" si="28"/>
        <v>1.2856962308657866E-13</v>
      </c>
      <c r="I129" s="3">
        <v>10317193000000</v>
      </c>
      <c r="J129" s="3">
        <v>9116592000000</v>
      </c>
      <c r="K129" s="3">
        <f t="shared" si="29"/>
        <v>1200601000000</v>
      </c>
      <c r="L129" s="15">
        <f t="shared" si="30"/>
        <v>0.15436081804736942</v>
      </c>
      <c r="M129" s="3">
        <v>2188920000000</v>
      </c>
      <c r="N129" s="15">
        <f t="shared" si="31"/>
        <v>0.28142861936667374</v>
      </c>
      <c r="O129" s="16">
        <v>0.11600000000000001</v>
      </c>
      <c r="P129" s="16">
        <v>0.25700000000000001</v>
      </c>
      <c r="Q129" s="16">
        <v>-0.25900000000000001</v>
      </c>
      <c r="R129" s="3">
        <f>411594000000+2198420000000+11892000000+26359000000</f>
        <v>2648265000000</v>
      </c>
      <c r="S129" s="3">
        <f>244990000000+1914519000000+12529000000+8908000000</f>
        <v>2180946000000</v>
      </c>
      <c r="T129" s="3">
        <f t="shared" si="32"/>
        <v>467319000000</v>
      </c>
      <c r="U129" s="15">
        <f t="shared" si="33"/>
        <v>9.4277790356172564E-2</v>
      </c>
      <c r="V129" s="16">
        <f t="shared" si="34"/>
        <v>1.4914076278043124E-14</v>
      </c>
      <c r="W129" s="16">
        <f t="shared" si="35"/>
        <v>2.4229392121536349E-2</v>
      </c>
      <c r="X129" s="16">
        <f t="shared" si="36"/>
        <v>-7.28900124159685E-2</v>
      </c>
      <c r="Y129" s="15">
        <f t="shared" si="37"/>
        <v>-4.8660620294417235E-2</v>
      </c>
      <c r="Z129" s="47">
        <f t="shared" si="38"/>
        <v>5.3840304699706229E-2</v>
      </c>
    </row>
    <row r="130" spans="1:26" x14ac:dyDescent="0.25">
      <c r="A130" s="2"/>
      <c r="B130" s="12">
        <v>2023</v>
      </c>
      <c r="C130" s="3">
        <v>434532000000</v>
      </c>
      <c r="D130" s="3">
        <v>920206000000</v>
      </c>
      <c r="E130" s="3">
        <f t="shared" si="26"/>
        <v>-485674000000</v>
      </c>
      <c r="F130" s="3">
        <v>8382538000000</v>
      </c>
      <c r="G130" s="15">
        <f t="shared" si="27"/>
        <v>-5.7938777014789555E-2</v>
      </c>
      <c r="H130" s="16">
        <f t="shared" si="28"/>
        <v>1.1929561190178918E-13</v>
      </c>
      <c r="I130" s="3">
        <v>10245160000000</v>
      </c>
      <c r="J130" s="3">
        <v>10317193000000</v>
      </c>
      <c r="K130" s="3">
        <f t="shared" si="29"/>
        <v>-72033000000</v>
      </c>
      <c r="L130" s="15">
        <f t="shared" si="30"/>
        <v>-8.5932208121215787E-3</v>
      </c>
      <c r="M130" s="3">
        <v>2079603000000</v>
      </c>
      <c r="N130" s="15">
        <f t="shared" si="31"/>
        <v>0.24808751239779647</v>
      </c>
      <c r="O130" s="16">
        <v>0.11600000000000001</v>
      </c>
      <c r="P130" s="16">
        <v>0.25700000000000001</v>
      </c>
      <c r="Q130" s="16">
        <v>-0.25900000000000001</v>
      </c>
      <c r="R130" s="3">
        <f>244245000000+2131153000000+12816000000+8281000000</f>
        <v>2396495000000</v>
      </c>
      <c r="S130" s="3">
        <f>411594000000+2198420000000+11892000000+26359000000</f>
        <v>2648265000000</v>
      </c>
      <c r="T130" s="3">
        <f t="shared" si="32"/>
        <v>-251770000000</v>
      </c>
      <c r="U130" s="15">
        <f t="shared" si="33"/>
        <v>2.144183539639188E-2</v>
      </c>
      <c r="V130" s="16">
        <f t="shared" si="34"/>
        <v>1.3838290980607545E-14</v>
      </c>
      <c r="W130" s="16">
        <f t="shared" si="35"/>
        <v>5.510551696872713E-3</v>
      </c>
      <c r="X130" s="16">
        <f t="shared" si="36"/>
        <v>-6.4254665711029293E-2</v>
      </c>
      <c r="Y130" s="15">
        <f t="shared" si="37"/>
        <v>-5.8744114014142743E-2</v>
      </c>
      <c r="Z130" s="47">
        <f t="shared" si="38"/>
        <v>8.0533699935318726E-4</v>
      </c>
    </row>
    <row r="131" spans="1:26" x14ac:dyDescent="0.25">
      <c r="A131" s="2" t="s">
        <v>64</v>
      </c>
      <c r="B131" s="12">
        <v>2021</v>
      </c>
      <c r="C131" s="3">
        <v>259650288797</v>
      </c>
      <c r="D131" s="3">
        <v>390318298080</v>
      </c>
      <c r="E131" s="3">
        <f t="shared" si="26"/>
        <v>-130668009283</v>
      </c>
      <c r="F131" s="3">
        <v>1398568521297</v>
      </c>
      <c r="G131" s="15">
        <f t="shared" si="27"/>
        <v>-9.3429822917665495E-2</v>
      </c>
      <c r="H131" s="16">
        <f t="shared" si="28"/>
        <v>7.1501680809505361E-13</v>
      </c>
      <c r="I131" s="3">
        <v>895867536708</v>
      </c>
      <c r="J131" s="3">
        <v>607253410714</v>
      </c>
      <c r="K131" s="3">
        <f t="shared" si="29"/>
        <v>288614125994</v>
      </c>
      <c r="L131" s="15">
        <f t="shared" si="30"/>
        <v>0.20636395113937353</v>
      </c>
      <c r="M131" s="3">
        <v>422834602004</v>
      </c>
      <c r="N131" s="15">
        <f t="shared" si="31"/>
        <v>0.30233384747704245</v>
      </c>
      <c r="O131" s="16">
        <v>0.11600000000000001</v>
      </c>
      <c r="P131" s="16">
        <v>0.25700000000000001</v>
      </c>
      <c r="Q131" s="16">
        <v>-0.25900000000000001</v>
      </c>
      <c r="R131" s="3">
        <f>7746858586+4224360931</f>
        <v>11971219517</v>
      </c>
      <c r="S131" s="3">
        <f>5817799383+2407505849</f>
        <v>8225305232</v>
      </c>
      <c r="T131" s="3">
        <f t="shared" si="32"/>
        <v>3745914285</v>
      </c>
      <c r="U131" s="15">
        <f t="shared" si="33"/>
        <v>0.20368555946391517</v>
      </c>
      <c r="V131" s="16">
        <f t="shared" si="34"/>
        <v>8.2941949739026221E-14</v>
      </c>
      <c r="W131" s="16">
        <f t="shared" si="35"/>
        <v>5.2347188782226203E-2</v>
      </c>
      <c r="X131" s="16">
        <f t="shared" si="36"/>
        <v>-7.8304466496553995E-2</v>
      </c>
      <c r="Y131" s="15">
        <f t="shared" si="37"/>
        <v>-2.5957277714244852E-2</v>
      </c>
      <c r="Z131" s="47">
        <f t="shared" si="38"/>
        <v>-6.7472545203420636E-2</v>
      </c>
    </row>
    <row r="132" spans="1:26" x14ac:dyDescent="0.25">
      <c r="A132" s="2"/>
      <c r="B132" s="12">
        <v>2022</v>
      </c>
      <c r="C132" s="3">
        <v>252406668731</v>
      </c>
      <c r="D132" s="3">
        <v>401335531740</v>
      </c>
      <c r="E132" s="3">
        <f t="shared" si="26"/>
        <v>-148928863009</v>
      </c>
      <c r="F132" s="3">
        <v>1753240850009</v>
      </c>
      <c r="G132" s="15">
        <f t="shared" si="27"/>
        <v>-8.4944896765458952E-2</v>
      </c>
      <c r="H132" s="16">
        <f t="shared" si="28"/>
        <v>5.7037229083207054E-13</v>
      </c>
      <c r="I132" s="3">
        <v>970572083452</v>
      </c>
      <c r="J132" s="3">
        <v>895867536708</v>
      </c>
      <c r="K132" s="3">
        <f t="shared" si="29"/>
        <v>74704546744</v>
      </c>
      <c r="L132" s="15">
        <f t="shared" si="30"/>
        <v>4.2609403461946783E-2</v>
      </c>
      <c r="M132" s="3">
        <v>542534101779</v>
      </c>
      <c r="N132" s="15">
        <f t="shared" si="31"/>
        <v>0.30944641848620796</v>
      </c>
      <c r="O132" s="16">
        <v>0.11600000000000001</v>
      </c>
      <c r="P132" s="16">
        <v>0.25700000000000001</v>
      </c>
      <c r="Q132" s="16">
        <v>-0.25900000000000001</v>
      </c>
      <c r="R132" s="3">
        <f>13975631725+3976029529</f>
        <v>17951661254</v>
      </c>
      <c r="S132" s="3">
        <f>7746858586+4224360931</f>
        <v>11971219517</v>
      </c>
      <c r="T132" s="3">
        <f t="shared" si="32"/>
        <v>5980441737</v>
      </c>
      <c r="U132" s="15">
        <f t="shared" si="33"/>
        <v>3.9198325208226366E-2</v>
      </c>
      <c r="V132" s="16">
        <f t="shared" si="34"/>
        <v>6.6163185736520192E-14</v>
      </c>
      <c r="W132" s="16">
        <f t="shared" si="35"/>
        <v>1.0073969578514176E-2</v>
      </c>
      <c r="X132" s="16">
        <f t="shared" si="36"/>
        <v>-8.0146622387927871E-2</v>
      </c>
      <c r="Y132" s="15">
        <f t="shared" si="37"/>
        <v>-7.0072652809347533E-2</v>
      </c>
      <c r="Z132" s="47">
        <f t="shared" si="38"/>
        <v>-1.4872243956111419E-2</v>
      </c>
    </row>
    <row r="133" spans="1:26" x14ac:dyDescent="0.25">
      <c r="A133" s="2"/>
      <c r="B133" s="12">
        <v>2023</v>
      </c>
      <c r="C133" s="3">
        <v>146138989067</v>
      </c>
      <c r="D133" s="3">
        <v>192491057415</v>
      </c>
      <c r="E133" s="3">
        <f t="shared" si="26"/>
        <v>-46352068348</v>
      </c>
      <c r="F133" s="3">
        <v>1835253997038</v>
      </c>
      <c r="G133" s="15">
        <f t="shared" si="27"/>
        <v>-2.5256486798453898E-2</v>
      </c>
      <c r="H133" s="16">
        <f t="shared" si="28"/>
        <v>5.44883706350154E-13</v>
      </c>
      <c r="I133" s="3">
        <v>875512425564</v>
      </c>
      <c r="J133" s="3">
        <v>970572083452</v>
      </c>
      <c r="K133" s="3">
        <f t="shared" si="29"/>
        <v>-95059657888</v>
      </c>
      <c r="L133" s="15">
        <f t="shared" si="30"/>
        <v>-5.1796458714391092E-2</v>
      </c>
      <c r="M133" s="3">
        <v>700714410556</v>
      </c>
      <c r="N133" s="15">
        <f t="shared" si="31"/>
        <v>0.38180786511671677</v>
      </c>
      <c r="O133" s="16">
        <v>0.11600000000000001</v>
      </c>
      <c r="P133" s="16">
        <v>0.25700000000000001</v>
      </c>
      <c r="Q133" s="16">
        <v>-0.25900000000000001</v>
      </c>
      <c r="R133" s="3">
        <f>6981505890+3828011922</f>
        <v>10809517812</v>
      </c>
      <c r="S133" s="3">
        <f>13975631725+3976029529</f>
        <v>17951661254</v>
      </c>
      <c r="T133" s="3">
        <f t="shared" si="32"/>
        <v>-7142143442</v>
      </c>
      <c r="U133" s="15">
        <f t="shared" si="33"/>
        <v>-4.7904821124429689E-2</v>
      </c>
      <c r="V133" s="16">
        <f t="shared" si="34"/>
        <v>6.3206509936617866E-14</v>
      </c>
      <c r="W133" s="16">
        <f t="shared" si="35"/>
        <v>-1.2311539028978431E-2</v>
      </c>
      <c r="X133" s="16">
        <f t="shared" si="36"/>
        <v>-9.8888237065229645E-2</v>
      </c>
      <c r="Y133" s="15">
        <f t="shared" si="37"/>
        <v>-0.11119977609414487</v>
      </c>
      <c r="Z133" s="47">
        <f t="shared" si="38"/>
        <v>8.5943289295690978E-2</v>
      </c>
    </row>
    <row r="134" spans="1:26" x14ac:dyDescent="0.25">
      <c r="A134" s="2" t="s">
        <v>65</v>
      </c>
      <c r="B134" s="12">
        <v>2021</v>
      </c>
      <c r="C134" s="3">
        <v>351470000000</v>
      </c>
      <c r="D134" s="3">
        <v>570500000000</v>
      </c>
      <c r="E134" s="3">
        <f t="shared" si="26"/>
        <v>-219030000000</v>
      </c>
      <c r="F134" s="3">
        <v>5680638000000</v>
      </c>
      <c r="G134" s="15">
        <f t="shared" si="27"/>
        <v>-3.855728881157363E-2</v>
      </c>
      <c r="H134" s="16">
        <f t="shared" si="28"/>
        <v>1.7603656490696996E-13</v>
      </c>
      <c r="I134" s="3">
        <v>6973718000000</v>
      </c>
      <c r="J134" s="3">
        <v>6110155000000</v>
      </c>
      <c r="K134" s="3">
        <f t="shared" si="29"/>
        <v>863563000000</v>
      </c>
      <c r="L134" s="15">
        <f t="shared" si="30"/>
        <v>0.15201866410075771</v>
      </c>
      <c r="M134" s="3">
        <v>2107755000000</v>
      </c>
      <c r="N134" s="15">
        <f t="shared" si="31"/>
        <v>0.37104194986549044</v>
      </c>
      <c r="O134" s="16">
        <v>0.11600000000000001</v>
      </c>
      <c r="P134" s="16">
        <v>0.25700000000000001</v>
      </c>
      <c r="Q134" s="16">
        <v>-0.25900000000000001</v>
      </c>
      <c r="R134" s="3">
        <v>993941000000</v>
      </c>
      <c r="S134" s="3">
        <v>913991000000</v>
      </c>
      <c r="T134" s="3">
        <f t="shared" si="32"/>
        <v>79950000000</v>
      </c>
      <c r="U134" s="15">
        <f t="shared" si="33"/>
        <v>0.13794454073644544</v>
      </c>
      <c r="V134" s="16">
        <f t="shared" si="34"/>
        <v>2.0420241529208516E-14</v>
      </c>
      <c r="W134" s="16">
        <f t="shared" si="35"/>
        <v>3.5451746969266479E-2</v>
      </c>
      <c r="X134" s="16">
        <f t="shared" si="36"/>
        <v>-9.6099865015162031E-2</v>
      </c>
      <c r="Y134" s="15">
        <f t="shared" si="37"/>
        <v>-6.0648118045875131E-2</v>
      </c>
      <c r="Z134" s="47">
        <f t="shared" si="38"/>
        <v>2.2090829234301501E-2</v>
      </c>
    </row>
    <row r="135" spans="1:26" x14ac:dyDescent="0.25">
      <c r="A135" s="2"/>
      <c r="B135" s="12">
        <v>2022</v>
      </c>
      <c r="C135" s="3">
        <v>382105000000</v>
      </c>
      <c r="D135" s="3">
        <v>-99776000000</v>
      </c>
      <c r="E135" s="3">
        <f t="shared" si="26"/>
        <v>481881000000</v>
      </c>
      <c r="F135" s="3">
        <v>6297287000000</v>
      </c>
      <c r="G135" s="15">
        <f t="shared" si="27"/>
        <v>7.6522000664730694E-2</v>
      </c>
      <c r="H135" s="16">
        <f t="shared" si="28"/>
        <v>1.5879854292808952E-13</v>
      </c>
      <c r="I135" s="3">
        <v>8461768000000</v>
      </c>
      <c r="J135" s="3">
        <v>6973718000000</v>
      </c>
      <c r="K135" s="3">
        <f t="shared" si="29"/>
        <v>1488050000000</v>
      </c>
      <c r="L135" s="15">
        <f t="shared" si="30"/>
        <v>0.23630017180414359</v>
      </c>
      <c r="M135" s="3">
        <v>2298552000000</v>
      </c>
      <c r="N135" s="15">
        <f t="shared" si="31"/>
        <v>0.36500670844444599</v>
      </c>
      <c r="O135" s="16">
        <v>0.11600000000000001</v>
      </c>
      <c r="P135" s="16">
        <v>0.25700000000000001</v>
      </c>
      <c r="Q135" s="16">
        <v>-0.25900000000000001</v>
      </c>
      <c r="R135" s="3">
        <v>985129000000</v>
      </c>
      <c r="S135" s="3">
        <v>993941000000</v>
      </c>
      <c r="T135" s="3">
        <f t="shared" si="32"/>
        <v>-8812000000</v>
      </c>
      <c r="U135" s="15">
        <f t="shared" si="33"/>
        <v>0.23769950456442593</v>
      </c>
      <c r="V135" s="16">
        <f t="shared" si="34"/>
        <v>1.8420630979658384E-14</v>
      </c>
      <c r="W135" s="16">
        <f t="shared" si="35"/>
        <v>6.1088772673057463E-2</v>
      </c>
      <c r="X135" s="16">
        <f t="shared" si="36"/>
        <v>-9.4536737487111513E-2</v>
      </c>
      <c r="Y135" s="15">
        <f t="shared" si="37"/>
        <v>-3.3447964814035627E-2</v>
      </c>
      <c r="Z135" s="47">
        <f t="shared" si="38"/>
        <v>0.10996996547876632</v>
      </c>
    </row>
    <row r="136" spans="1:26" x14ac:dyDescent="0.25">
      <c r="A136" s="2"/>
      <c r="B136" s="12">
        <v>2023</v>
      </c>
      <c r="C136" s="3">
        <v>319078000000</v>
      </c>
      <c r="D136" s="3">
        <v>210076000000</v>
      </c>
      <c r="E136" s="3">
        <f t="shared" si="26"/>
        <v>109002000000</v>
      </c>
      <c r="F136" s="3">
        <v>6878297000000</v>
      </c>
      <c r="G136" s="15">
        <f t="shared" si="27"/>
        <v>1.5847236605223646E-2</v>
      </c>
      <c r="H136" s="16">
        <f t="shared" si="28"/>
        <v>1.453848241795898E-13</v>
      </c>
      <c r="I136" s="3">
        <v>9239926000000</v>
      </c>
      <c r="J136" s="3">
        <v>8461768000000</v>
      </c>
      <c r="K136" s="3">
        <f t="shared" si="29"/>
        <v>778158000000</v>
      </c>
      <c r="L136" s="15">
        <f t="shared" si="30"/>
        <v>0.11313236401394124</v>
      </c>
      <c r="M136" s="3">
        <v>2712720000000</v>
      </c>
      <c r="N136" s="15">
        <f t="shared" si="31"/>
        <v>0.39438832024845683</v>
      </c>
      <c r="O136" s="16">
        <v>0.11600000000000001</v>
      </c>
      <c r="P136" s="16">
        <v>0.25700000000000001</v>
      </c>
      <c r="Q136" s="16">
        <v>-0.25900000000000001</v>
      </c>
      <c r="R136" s="3">
        <v>1109670000000</v>
      </c>
      <c r="S136" s="3">
        <v>985129000000</v>
      </c>
      <c r="T136" s="3">
        <f t="shared" si="32"/>
        <v>124541000000</v>
      </c>
      <c r="U136" s="15">
        <f t="shared" si="33"/>
        <v>9.502599262579095E-2</v>
      </c>
      <c r="V136" s="16">
        <f t="shared" si="34"/>
        <v>1.6864639604832418E-14</v>
      </c>
      <c r="W136" s="16">
        <f t="shared" si="35"/>
        <v>2.4421680104828276E-2</v>
      </c>
      <c r="X136" s="16">
        <f t="shared" si="36"/>
        <v>-0.10214657494435032</v>
      </c>
      <c r="Y136" s="15">
        <f t="shared" si="37"/>
        <v>-7.7724894839505176E-2</v>
      </c>
      <c r="Z136" s="47">
        <f t="shared" si="38"/>
        <v>9.3572131444728826E-2</v>
      </c>
    </row>
    <row r="137" spans="1:26" x14ac:dyDescent="0.25">
      <c r="A137" s="2" t="s">
        <v>66</v>
      </c>
      <c r="B137" s="12">
        <v>2021</v>
      </c>
      <c r="C137" s="3">
        <v>31335528055</v>
      </c>
      <c r="D137" s="3">
        <v>108333153222</v>
      </c>
      <c r="E137" s="3">
        <f t="shared" si="26"/>
        <v>-76997625167</v>
      </c>
      <c r="F137" s="3">
        <v>1817499225034</v>
      </c>
      <c r="G137" s="15">
        <f t="shared" si="27"/>
        <v>-4.2364598623451738E-2</v>
      </c>
      <c r="H137" s="16">
        <f t="shared" si="28"/>
        <v>5.5020656197599923E-13</v>
      </c>
      <c r="I137" s="3">
        <v>786686008070</v>
      </c>
      <c r="J137" s="3">
        <v>475252008248</v>
      </c>
      <c r="K137" s="3">
        <f t="shared" si="29"/>
        <v>311433999822</v>
      </c>
      <c r="L137" s="15">
        <f t="shared" si="30"/>
        <v>0.17135303032449656</v>
      </c>
      <c r="M137" s="3">
        <v>1122794967757</v>
      </c>
      <c r="N137" s="15">
        <f t="shared" si="31"/>
        <v>0.6177691590135318</v>
      </c>
      <c r="O137" s="16">
        <v>0.11600000000000001</v>
      </c>
      <c r="P137" s="16">
        <v>0.25700000000000001</v>
      </c>
      <c r="Q137" s="16">
        <v>-0.25900000000000001</v>
      </c>
      <c r="R137" s="3">
        <f>773717354+54068465999+9711121769</f>
        <v>64553305122</v>
      </c>
      <c r="S137" s="3">
        <f>6631427579+254259812</f>
        <v>6885687391</v>
      </c>
      <c r="T137" s="3">
        <f t="shared" si="32"/>
        <v>57667617731</v>
      </c>
      <c r="U137" s="15">
        <f t="shared" si="33"/>
        <v>0.13962392863537687</v>
      </c>
      <c r="V137" s="16">
        <f t="shared" si="34"/>
        <v>6.3823961189215911E-14</v>
      </c>
      <c r="W137" s="16">
        <f t="shared" si="35"/>
        <v>3.5883349659291859E-2</v>
      </c>
      <c r="X137" s="16">
        <f t="shared" si="36"/>
        <v>-0.16000221218450475</v>
      </c>
      <c r="Y137" s="15">
        <f t="shared" si="37"/>
        <v>-0.12411886252514906</v>
      </c>
      <c r="Z137" s="47">
        <f t="shared" si="38"/>
        <v>8.1754263901697322E-2</v>
      </c>
    </row>
    <row r="138" spans="1:26" x14ac:dyDescent="0.25">
      <c r="A138" s="2"/>
      <c r="B138" s="12">
        <v>2022</v>
      </c>
      <c r="C138" s="3">
        <v>167246545379</v>
      </c>
      <c r="D138" s="3">
        <v>213075287779</v>
      </c>
      <c r="E138" s="3">
        <f t="shared" si="26"/>
        <v>-45828742400</v>
      </c>
      <c r="F138" s="3">
        <v>2497154377254</v>
      </c>
      <c r="G138" s="15">
        <f t="shared" si="27"/>
        <v>-1.8352386547441112E-2</v>
      </c>
      <c r="H138" s="16">
        <f t="shared" si="28"/>
        <v>4.0045581847432742E-13</v>
      </c>
      <c r="I138" s="3">
        <v>1007305060864</v>
      </c>
      <c r="J138" s="3">
        <v>786686008070</v>
      </c>
      <c r="K138" s="3">
        <f t="shared" si="29"/>
        <v>220619052794</v>
      </c>
      <c r="L138" s="15">
        <f t="shared" si="30"/>
        <v>8.8348183357652127E-2</v>
      </c>
      <c r="M138" s="3">
        <v>1122984716580</v>
      </c>
      <c r="N138" s="15">
        <f t="shared" si="31"/>
        <v>0.44970576381220451</v>
      </c>
      <c r="O138" s="16">
        <v>0.11600000000000001</v>
      </c>
      <c r="P138" s="16">
        <v>0.25700000000000001</v>
      </c>
      <c r="Q138" s="16">
        <v>-0.25900000000000001</v>
      </c>
      <c r="R138" s="3">
        <f>245942770+60895673652+1951771831</f>
        <v>63093388253</v>
      </c>
      <c r="S138" s="3">
        <f>773717354+54068465999+9711121769</f>
        <v>64553305122</v>
      </c>
      <c r="T138" s="3">
        <f t="shared" si="32"/>
        <v>-1459916869</v>
      </c>
      <c r="U138" s="15">
        <f t="shared" si="33"/>
        <v>8.8932815562331999E-2</v>
      </c>
      <c r="V138" s="16">
        <f t="shared" si="34"/>
        <v>4.6452874943021984E-14</v>
      </c>
      <c r="W138" s="16">
        <f t="shared" si="35"/>
        <v>2.2855733599519323E-2</v>
      </c>
      <c r="X138" s="16">
        <f t="shared" si="36"/>
        <v>-0.11647379282736096</v>
      </c>
      <c r="Y138" s="15">
        <f t="shared" si="37"/>
        <v>-9.3618059227795189E-2</v>
      </c>
      <c r="Z138" s="47">
        <f t="shared" si="38"/>
        <v>7.5265672680354084E-2</v>
      </c>
    </row>
    <row r="139" spans="1:26" x14ac:dyDescent="0.25">
      <c r="A139" s="2"/>
      <c r="B139" s="12">
        <v>2023</v>
      </c>
      <c r="C139" s="3">
        <v>108056587588</v>
      </c>
      <c r="D139" s="3">
        <v>355175776509</v>
      </c>
      <c r="E139" s="3">
        <f t="shared" si="26"/>
        <v>-247119188921</v>
      </c>
      <c r="F139" s="3">
        <v>2347517612881</v>
      </c>
      <c r="G139" s="15">
        <f t="shared" si="27"/>
        <v>-0.10526830025258981</v>
      </c>
      <c r="H139" s="16">
        <f t="shared" si="28"/>
        <v>4.2598189445434924E-13</v>
      </c>
      <c r="I139" s="3">
        <v>868456776538</v>
      </c>
      <c r="J139" s="3">
        <v>1007305060864</v>
      </c>
      <c r="K139" s="3">
        <f t="shared" si="29"/>
        <v>-138848284326</v>
      </c>
      <c r="L139" s="15">
        <f t="shared" si="30"/>
        <v>-5.9146855198925603E-2</v>
      </c>
      <c r="M139" s="3">
        <v>1219714107993</v>
      </c>
      <c r="N139" s="15">
        <f t="shared" si="31"/>
        <v>0.51957612641555484</v>
      </c>
      <c r="O139" s="16">
        <v>0.11600000000000001</v>
      </c>
      <c r="P139" s="16">
        <v>0.25700000000000001</v>
      </c>
      <c r="Q139" s="16">
        <v>-0.25900000000000001</v>
      </c>
      <c r="R139" s="3">
        <f>64422246872+898035402</f>
        <v>65320282274</v>
      </c>
      <c r="S139" s="3">
        <f>245942770+60895673652+1951771831</f>
        <v>63093388253</v>
      </c>
      <c r="T139" s="3">
        <f t="shared" si="32"/>
        <v>2226894021</v>
      </c>
      <c r="U139" s="15">
        <f t="shared" si="33"/>
        <v>-6.0095471732740248E-2</v>
      </c>
      <c r="V139" s="16">
        <f t="shared" si="34"/>
        <v>4.9413899756704517E-14</v>
      </c>
      <c r="W139" s="16">
        <f t="shared" si="35"/>
        <v>-1.5444536235314244E-2</v>
      </c>
      <c r="X139" s="16">
        <f t="shared" si="36"/>
        <v>-0.1345702167416287</v>
      </c>
      <c r="Y139" s="15">
        <f t="shared" si="37"/>
        <v>-0.15001475297689354</v>
      </c>
      <c r="Z139" s="47">
        <f t="shared" si="38"/>
        <v>4.4746452724303734E-2</v>
      </c>
    </row>
    <row r="140" spans="1:26" x14ac:dyDescent="0.25">
      <c r="A140" s="2" t="s">
        <v>67</v>
      </c>
      <c r="B140" s="12">
        <v>2021</v>
      </c>
      <c r="C140" s="3">
        <v>407516031006</v>
      </c>
      <c r="D140" s="3">
        <v>1014779268053</v>
      </c>
      <c r="E140" s="3">
        <f t="shared" si="26"/>
        <v>-607263237047</v>
      </c>
      <c r="F140" s="3">
        <v>7800327777736</v>
      </c>
      <c r="G140" s="15">
        <f t="shared" si="27"/>
        <v>-7.7850989644342186E-2</v>
      </c>
      <c r="H140" s="16">
        <f t="shared" si="28"/>
        <v>1.2819974089476587E-13</v>
      </c>
      <c r="I140" s="3">
        <v>3390496525189</v>
      </c>
      <c r="J140" s="3">
        <v>2617336401866</v>
      </c>
      <c r="K140" s="3">
        <f t="shared" si="29"/>
        <v>773160123323</v>
      </c>
      <c r="L140" s="15">
        <f t="shared" si="30"/>
        <v>9.9118927480173827E-2</v>
      </c>
      <c r="M140" s="3">
        <v>2457282806218</v>
      </c>
      <c r="N140" s="15">
        <f t="shared" si="31"/>
        <v>0.31502301906231073</v>
      </c>
      <c r="O140" s="16">
        <v>0.11600000000000001</v>
      </c>
      <c r="P140" s="16">
        <v>0.25700000000000001</v>
      </c>
      <c r="Q140" s="16">
        <v>-0.25900000000000001</v>
      </c>
      <c r="R140" s="3">
        <f>47218403362+5909981631+64289753+4611204557</f>
        <v>57803879303</v>
      </c>
      <c r="S140" s="3">
        <f>32652471773+10790330797+130492155+1854703586</f>
        <v>45427998311</v>
      </c>
      <c r="T140" s="3">
        <f t="shared" si="32"/>
        <v>12375880992</v>
      </c>
      <c r="U140" s="15">
        <f t="shared" si="33"/>
        <v>9.7532342743654965E-2</v>
      </c>
      <c r="V140" s="16">
        <f t="shared" si="34"/>
        <v>1.4871169943792841E-14</v>
      </c>
      <c r="W140" s="16">
        <f t="shared" si="35"/>
        <v>2.5065812085119328E-2</v>
      </c>
      <c r="X140" s="16">
        <f t="shared" si="36"/>
        <v>-8.1590961937138481E-2</v>
      </c>
      <c r="Y140" s="15">
        <f t="shared" si="37"/>
        <v>-5.6525149852004283E-2</v>
      </c>
      <c r="Z140" s="47">
        <f t="shared" si="38"/>
        <v>-2.1325839792337903E-2</v>
      </c>
    </row>
    <row r="141" spans="1:26" x14ac:dyDescent="0.25">
      <c r="A141" s="2"/>
      <c r="B141" s="12">
        <v>2022</v>
      </c>
      <c r="C141" s="3">
        <v>749310939262</v>
      </c>
      <c r="D141" s="3">
        <v>1895737342505</v>
      </c>
      <c r="E141" s="3">
        <f t="shared" si="26"/>
        <v>-1146426403243</v>
      </c>
      <c r="F141" s="3">
        <v>7934144926261</v>
      </c>
      <c r="G141" s="15">
        <f t="shared" si="27"/>
        <v>-0.14449274797697179</v>
      </c>
      <c r="H141" s="16">
        <f t="shared" si="28"/>
        <v>1.2603752632374139E-13</v>
      </c>
      <c r="I141" s="3">
        <v>4828633601246</v>
      </c>
      <c r="J141" s="3">
        <v>3390496525189</v>
      </c>
      <c r="K141" s="3">
        <f t="shared" si="29"/>
        <v>1438137076057</v>
      </c>
      <c r="L141" s="15">
        <f t="shared" si="30"/>
        <v>0.1812592395806826</v>
      </c>
      <c r="M141" s="3">
        <v>2525142550444</v>
      </c>
      <c r="N141" s="15">
        <f t="shared" si="31"/>
        <v>0.3182627206727851</v>
      </c>
      <c r="O141" s="16">
        <v>0.11600000000000001</v>
      </c>
      <c r="P141" s="16">
        <v>0.25700000000000001</v>
      </c>
      <c r="Q141" s="16">
        <v>-0.25900000000000001</v>
      </c>
      <c r="R141" s="3">
        <f>70608975680+50747177119+60261855+8579272647</f>
        <v>129995687301</v>
      </c>
      <c r="S141" s="3">
        <f>47218403362+5909981631+64289753+4611204557</f>
        <v>57803879303</v>
      </c>
      <c r="T141" s="3">
        <f t="shared" si="32"/>
        <v>72191807998</v>
      </c>
      <c r="U141" s="15">
        <f t="shared" si="33"/>
        <v>0.17216036267977622</v>
      </c>
      <c r="V141" s="16">
        <f t="shared" si="34"/>
        <v>1.4620353053554001E-14</v>
      </c>
      <c r="W141" s="16">
        <f t="shared" si="35"/>
        <v>4.4245213208702491E-2</v>
      </c>
      <c r="X141" s="16">
        <f t="shared" si="36"/>
        <v>-8.2430044654251342E-2</v>
      </c>
      <c r="Y141" s="15">
        <f t="shared" si="37"/>
        <v>-3.818483144553423E-2</v>
      </c>
      <c r="Z141" s="47">
        <f t="shared" si="38"/>
        <v>-0.10630791653143756</v>
      </c>
    </row>
    <row r="142" spans="1:26" x14ac:dyDescent="0.25">
      <c r="A142" s="2"/>
      <c r="B142" s="12">
        <v>2023</v>
      </c>
      <c r="C142" s="3">
        <v>161679000832</v>
      </c>
      <c r="D142" s="3">
        <v>1030969177395</v>
      </c>
      <c r="E142" s="3">
        <f t="shared" si="26"/>
        <v>-869290176563</v>
      </c>
      <c r="F142" s="3">
        <v>8624008934687</v>
      </c>
      <c r="G142" s="15">
        <f t="shared" si="27"/>
        <v>-0.10079884925287941</v>
      </c>
      <c r="H142" s="16">
        <f t="shared" si="28"/>
        <v>1.1595535296558619E-13</v>
      </c>
      <c r="I142" s="3">
        <v>5062243740223</v>
      </c>
      <c r="J142" s="3">
        <v>4828633601246</v>
      </c>
      <c r="K142" s="3">
        <f t="shared" si="29"/>
        <v>233610138977</v>
      </c>
      <c r="L142" s="15">
        <f t="shared" si="30"/>
        <v>2.7088346121417677E-2</v>
      </c>
      <c r="M142" s="3">
        <v>2602375729615</v>
      </c>
      <c r="N142" s="15">
        <f t="shared" si="31"/>
        <v>0.30175939627658221</v>
      </c>
      <c r="O142" s="16">
        <v>0.11600000000000001</v>
      </c>
      <c r="P142" s="16">
        <v>0.25700000000000001</v>
      </c>
      <c r="Q142" s="16">
        <v>-0.25900000000000001</v>
      </c>
      <c r="R142" s="3">
        <f>79686742395+99282685642+117604667+23303429758</f>
        <v>202390462462</v>
      </c>
      <c r="S142" s="3">
        <f>70608975680+50747177119+60261855+8579272647</f>
        <v>129995687301</v>
      </c>
      <c r="T142" s="3">
        <f t="shared" si="32"/>
        <v>72394775161</v>
      </c>
      <c r="U142" s="15">
        <f t="shared" si="33"/>
        <v>1.8693784414759673E-2</v>
      </c>
      <c r="V142" s="16">
        <f t="shared" si="34"/>
        <v>1.3450820944008E-14</v>
      </c>
      <c r="W142" s="16">
        <f t="shared" si="35"/>
        <v>4.8043025945932356E-3</v>
      </c>
      <c r="X142" s="16">
        <f t="shared" si="36"/>
        <v>-7.8155683635634798E-2</v>
      </c>
      <c r="Y142" s="15">
        <f t="shared" si="37"/>
        <v>-7.3351381041028119E-2</v>
      </c>
      <c r="Z142" s="47">
        <f t="shared" si="38"/>
        <v>-2.7447468211851289E-2</v>
      </c>
    </row>
    <row r="143" spans="1:26" x14ac:dyDescent="0.25">
      <c r="A143" s="2" t="s">
        <v>68</v>
      </c>
      <c r="B143" s="12">
        <v>2021</v>
      </c>
      <c r="C143" s="3">
        <v>1198747000000</v>
      </c>
      <c r="D143" s="3">
        <v>1455015000000</v>
      </c>
      <c r="E143" s="3">
        <f t="shared" si="26"/>
        <v>-256268000000</v>
      </c>
      <c r="F143" s="3">
        <v>12323970000000</v>
      </c>
      <c r="G143" s="15">
        <f t="shared" si="27"/>
        <v>-2.0794273273953116E-2</v>
      </c>
      <c r="H143" s="16">
        <f t="shared" si="28"/>
        <v>8.1142683729350196E-14</v>
      </c>
      <c r="I143" s="3">
        <v>6278123000000</v>
      </c>
      <c r="J143" s="3">
        <v>5265785000000</v>
      </c>
      <c r="K143" s="3">
        <f t="shared" si="29"/>
        <v>1012338000000</v>
      </c>
      <c r="L143" s="15">
        <f t="shared" si="30"/>
        <v>8.2143822161202917E-2</v>
      </c>
      <c r="M143" s="3">
        <v>7118593000000</v>
      </c>
      <c r="N143" s="15">
        <f t="shared" si="31"/>
        <v>0.57762174039696623</v>
      </c>
      <c r="O143" s="16">
        <v>0.11600000000000001</v>
      </c>
      <c r="P143" s="16">
        <v>0.25700000000000001</v>
      </c>
      <c r="Q143" s="16">
        <v>-0.25900000000000001</v>
      </c>
      <c r="R143" s="3">
        <f>59756000000+387000000+10859000000</f>
        <v>71002000000</v>
      </c>
      <c r="S143" s="3">
        <f>120009000000+25890000000</f>
        <v>145899000000</v>
      </c>
      <c r="T143" s="3">
        <f t="shared" si="32"/>
        <v>-74897000000</v>
      </c>
      <c r="U143" s="15">
        <f t="shared" si="33"/>
        <v>8.8221165744480065E-2</v>
      </c>
      <c r="V143" s="16">
        <f t="shared" si="34"/>
        <v>9.4125513126046239E-15</v>
      </c>
      <c r="W143" s="16">
        <f t="shared" si="35"/>
        <v>2.2672839596331377E-2</v>
      </c>
      <c r="X143" s="16">
        <f t="shared" si="36"/>
        <v>-0.14960403076281426</v>
      </c>
      <c r="Y143" s="15">
        <f t="shared" si="37"/>
        <v>-0.12693119116647347</v>
      </c>
      <c r="Z143" s="47">
        <f t="shared" si="38"/>
        <v>0.10613691789252036</v>
      </c>
    </row>
    <row r="144" spans="1:26" x14ac:dyDescent="0.25">
      <c r="A144" s="2"/>
      <c r="B144" s="12">
        <v>2022</v>
      </c>
      <c r="C144" s="3">
        <v>3088745000000</v>
      </c>
      <c r="D144" s="3">
        <v>3175480000000</v>
      </c>
      <c r="E144" s="3">
        <f t="shared" si="26"/>
        <v>-86735000000</v>
      </c>
      <c r="F144" s="3">
        <v>12446326000000</v>
      </c>
      <c r="G144" s="15">
        <f t="shared" si="27"/>
        <v>-6.9687231396638651E-3</v>
      </c>
      <c r="H144" s="16">
        <f t="shared" si="28"/>
        <v>8.0344994980848166E-14</v>
      </c>
      <c r="I144" s="3">
        <v>9345641000000</v>
      </c>
      <c r="J144" s="3">
        <v>6278123000000</v>
      </c>
      <c r="K144" s="3">
        <f t="shared" si="29"/>
        <v>3067518000000</v>
      </c>
      <c r="L144" s="15">
        <f t="shared" si="30"/>
        <v>0.2464597183136614</v>
      </c>
      <c r="M144" s="3">
        <v>7292712000000</v>
      </c>
      <c r="N144" s="15">
        <f t="shared" si="31"/>
        <v>0.5859329090367712</v>
      </c>
      <c r="O144" s="16">
        <v>0.11600000000000001</v>
      </c>
      <c r="P144" s="16">
        <v>0.25700000000000001</v>
      </c>
      <c r="Q144" s="16">
        <v>-0.25900000000000001</v>
      </c>
      <c r="R144" s="3">
        <f>121265000000+291000000+125304000000</f>
        <v>246860000000</v>
      </c>
      <c r="S144" s="3">
        <f>59756000000+387000000+10859000000</f>
        <v>71002000000</v>
      </c>
      <c r="T144" s="3">
        <f t="shared" si="32"/>
        <v>175858000000</v>
      </c>
      <c r="U144" s="15">
        <f t="shared" si="33"/>
        <v>0.23233040818631939</v>
      </c>
      <c r="V144" s="16">
        <f t="shared" si="34"/>
        <v>9.3200194177783875E-15</v>
      </c>
      <c r="W144" s="16">
        <f t="shared" si="35"/>
        <v>5.9708914903884087E-2</v>
      </c>
      <c r="X144" s="16">
        <f t="shared" si="36"/>
        <v>-0.15175662344052374</v>
      </c>
      <c r="Y144" s="15">
        <f t="shared" si="37"/>
        <v>-9.2047708536630329E-2</v>
      </c>
      <c r="Z144" s="47">
        <f t="shared" si="38"/>
        <v>8.5078985396966469E-2</v>
      </c>
    </row>
    <row r="145" spans="1:26" x14ac:dyDescent="0.25">
      <c r="A145" s="2"/>
      <c r="B145" s="12">
        <v>2023</v>
      </c>
      <c r="C145" s="3">
        <v>1661258000000</v>
      </c>
      <c r="D145" s="3">
        <v>1569363000000</v>
      </c>
      <c r="E145" s="3">
        <f t="shared" si="26"/>
        <v>91895000000</v>
      </c>
      <c r="F145" s="3">
        <v>14526124000000</v>
      </c>
      <c r="G145" s="15">
        <f t="shared" si="27"/>
        <v>6.3261885964900205E-3</v>
      </c>
      <c r="H145" s="16">
        <f t="shared" si="28"/>
        <v>6.8841488617335228E-14</v>
      </c>
      <c r="I145" s="3">
        <v>8325887000000</v>
      </c>
      <c r="J145" s="3">
        <v>9345641000000</v>
      </c>
      <c r="K145" s="3">
        <f t="shared" si="29"/>
        <v>-1019754000000</v>
      </c>
      <c r="L145" s="15">
        <f t="shared" si="30"/>
        <v>-7.0201383383482058E-2</v>
      </c>
      <c r="M145" s="3">
        <v>7482594000000</v>
      </c>
      <c r="N145" s="15">
        <f t="shared" si="31"/>
        <v>0.51511290967914081</v>
      </c>
      <c r="O145" s="16">
        <v>0.11600000000000001</v>
      </c>
      <c r="P145" s="16">
        <v>0.25700000000000001</v>
      </c>
      <c r="Q145" s="16">
        <v>-0.25900000000000001</v>
      </c>
      <c r="R145" s="3">
        <f>85020000000+22501000000+21000000</f>
        <v>107542000000</v>
      </c>
      <c r="S145" s="3">
        <f>121265000000+291000000+125304000000</f>
        <v>246860000000</v>
      </c>
      <c r="T145" s="3">
        <f t="shared" si="32"/>
        <v>-139318000000</v>
      </c>
      <c r="U145" s="15">
        <f t="shared" si="33"/>
        <v>-6.0610524872292154E-2</v>
      </c>
      <c r="V145" s="16">
        <f t="shared" si="34"/>
        <v>7.9856126796108868E-15</v>
      </c>
      <c r="W145" s="16">
        <f t="shared" si="35"/>
        <v>-1.5576904892179083E-2</v>
      </c>
      <c r="X145" s="16">
        <f t="shared" si="36"/>
        <v>-0.13341424360689746</v>
      </c>
      <c r="Y145" s="15">
        <f t="shared" si="37"/>
        <v>-0.14899114849906855</v>
      </c>
      <c r="Z145" s="47">
        <f t="shared" si="38"/>
        <v>0.15531733709555856</v>
      </c>
    </row>
    <row r="146" spans="1:26" x14ac:dyDescent="0.25">
      <c r="A146" s="2" t="s">
        <v>69</v>
      </c>
      <c r="B146" s="12">
        <v>2021</v>
      </c>
      <c r="C146" s="3">
        <v>790229000000</v>
      </c>
      <c r="D146" s="3">
        <v>725649000000</v>
      </c>
      <c r="E146" s="3">
        <f t="shared" si="26"/>
        <v>64580000000</v>
      </c>
      <c r="F146" s="3">
        <v>1086782000000</v>
      </c>
      <c r="G146" s="15">
        <f t="shared" si="27"/>
        <v>5.9423140979515669E-2</v>
      </c>
      <c r="H146" s="16">
        <f t="shared" si="28"/>
        <v>9.2014773892096117E-13</v>
      </c>
      <c r="I146" s="3">
        <v>4095689000000</v>
      </c>
      <c r="J146" s="3">
        <v>1861963000000</v>
      </c>
      <c r="K146" s="3">
        <f t="shared" si="29"/>
        <v>2233726000000</v>
      </c>
      <c r="L146" s="15">
        <f t="shared" si="30"/>
        <v>2.0553579282689629</v>
      </c>
      <c r="M146" s="3">
        <v>667666000000</v>
      </c>
      <c r="N146" s="15">
        <f t="shared" si="31"/>
        <v>0.6143513602544024</v>
      </c>
      <c r="O146" s="16">
        <v>0.11600000000000001</v>
      </c>
      <c r="P146" s="16">
        <v>0.25700000000000001</v>
      </c>
      <c r="Q146" s="16">
        <v>-0.25900000000000001</v>
      </c>
      <c r="R146" s="3">
        <f>628086000000+6402000000+5188000000+16844000000</f>
        <v>656520000000</v>
      </c>
      <c r="S146" s="3">
        <f>308203000000+13148000000+1722000000+2141000000</f>
        <v>325214000000</v>
      </c>
      <c r="T146" s="3">
        <f t="shared" si="32"/>
        <v>331306000000</v>
      </c>
      <c r="U146" s="15">
        <f t="shared" si="33"/>
        <v>1.7505074614780149</v>
      </c>
      <c r="V146" s="16">
        <f t="shared" si="34"/>
        <v>1.067371377148315E-13</v>
      </c>
      <c r="W146" s="16">
        <f t="shared" si="35"/>
        <v>0.44988041759984987</v>
      </c>
      <c r="X146" s="16">
        <f t="shared" si="36"/>
        <v>-0.15911700230589024</v>
      </c>
      <c r="Y146" s="15">
        <f t="shared" si="37"/>
        <v>0.29076341529406635</v>
      </c>
      <c r="Z146" s="47">
        <f t="shared" si="38"/>
        <v>-0.23134027431455068</v>
      </c>
    </row>
    <row r="147" spans="1:26" x14ac:dyDescent="0.25">
      <c r="A147" s="2"/>
      <c r="B147" s="12">
        <v>2022</v>
      </c>
      <c r="C147" s="3">
        <v>1060582000000</v>
      </c>
      <c r="D147" s="3">
        <v>485962000000</v>
      </c>
      <c r="E147" s="3">
        <f t="shared" si="26"/>
        <v>574620000000</v>
      </c>
      <c r="F147" s="3">
        <v>5603779000000</v>
      </c>
      <c r="G147" s="15">
        <f t="shared" si="27"/>
        <v>0.10254151707267542</v>
      </c>
      <c r="H147" s="16">
        <f t="shared" si="28"/>
        <v>1.7845100600862382E-13</v>
      </c>
      <c r="I147" s="3">
        <v>6378348000000</v>
      </c>
      <c r="J147" s="3">
        <v>4095689000000</v>
      </c>
      <c r="K147" s="3">
        <f t="shared" si="29"/>
        <v>2282659000000</v>
      </c>
      <c r="L147" s="15">
        <f t="shared" si="30"/>
        <v>0.40734279492463926</v>
      </c>
      <c r="M147" s="3">
        <v>1266586000000</v>
      </c>
      <c r="N147" s="15">
        <f t="shared" si="31"/>
        <v>0.2260235458964388</v>
      </c>
      <c r="O147" s="16">
        <v>0.11600000000000001</v>
      </c>
      <c r="P147" s="16">
        <v>0.25700000000000001</v>
      </c>
      <c r="Q147" s="16">
        <v>-0.25900000000000001</v>
      </c>
      <c r="R147" s="3">
        <f>763777000000+7632000000+7468000000+1578000000</f>
        <v>780455000000</v>
      </c>
      <c r="S147" s="3">
        <f>628086000000+6402000000+5188000000+16844000000</f>
        <v>656520000000</v>
      </c>
      <c r="T147" s="3">
        <f t="shared" si="32"/>
        <v>123935000000</v>
      </c>
      <c r="U147" s="15">
        <f t="shared" si="33"/>
        <v>0.38522646949496048</v>
      </c>
      <c r="V147" s="16">
        <f t="shared" si="34"/>
        <v>2.0700316697000365E-14</v>
      </c>
      <c r="W147" s="16">
        <f t="shared" si="35"/>
        <v>9.9003202660204848E-2</v>
      </c>
      <c r="X147" s="16">
        <f t="shared" si="36"/>
        <v>-5.854009838717765E-2</v>
      </c>
      <c r="Y147" s="15">
        <f t="shared" si="37"/>
        <v>4.0463104273047903E-2</v>
      </c>
      <c r="Z147" s="47">
        <f t="shared" si="38"/>
        <v>6.2078412799627516E-2</v>
      </c>
    </row>
    <row r="148" spans="1:26" x14ac:dyDescent="0.25">
      <c r="A148" s="2"/>
      <c r="B148" s="12">
        <v>2023</v>
      </c>
      <c r="C148" s="3">
        <v>1241780000000</v>
      </c>
      <c r="D148" s="3">
        <v>1424316000000</v>
      </c>
      <c r="E148" s="3">
        <f t="shared" si="26"/>
        <v>-182536000000</v>
      </c>
      <c r="F148" s="3">
        <v>6223251000000</v>
      </c>
      <c r="G148" s="15">
        <f t="shared" si="27"/>
        <v>-2.9331293242069137E-2</v>
      </c>
      <c r="H148" s="16">
        <f t="shared" si="28"/>
        <v>1.6068771772181454E-13</v>
      </c>
      <c r="I148" s="3">
        <v>7772910000000</v>
      </c>
      <c r="J148" s="3">
        <v>6378348000000</v>
      </c>
      <c r="K148" s="3">
        <f t="shared" si="29"/>
        <v>1394562000000</v>
      </c>
      <c r="L148" s="15">
        <f t="shared" si="30"/>
        <v>0.22408898500156912</v>
      </c>
      <c r="M148" s="3">
        <v>1647085000000</v>
      </c>
      <c r="N148" s="15">
        <f t="shared" si="31"/>
        <v>0.2646663295438349</v>
      </c>
      <c r="O148" s="16">
        <v>0.11600000000000001</v>
      </c>
      <c r="P148" s="16">
        <v>0.25700000000000001</v>
      </c>
      <c r="Q148" s="16">
        <v>-0.25900000000000001</v>
      </c>
      <c r="R148" s="3">
        <f>869009000000+9879000000+16795000000</f>
        <v>895683000000</v>
      </c>
      <c r="S148" s="3">
        <f>763777000000+7632000000+7468000000+1578000000</f>
        <v>780455000000</v>
      </c>
      <c r="T148" s="3">
        <f t="shared" si="32"/>
        <v>115228000000</v>
      </c>
      <c r="U148" s="15">
        <f t="shared" si="33"/>
        <v>0.20557326066391987</v>
      </c>
      <c r="V148" s="16">
        <f t="shared" si="34"/>
        <v>1.8639775255730489E-14</v>
      </c>
      <c r="W148" s="16">
        <f t="shared" si="35"/>
        <v>5.2832327990627405E-2</v>
      </c>
      <c r="X148" s="16">
        <f t="shared" si="36"/>
        <v>-6.8548579351853239E-2</v>
      </c>
      <c r="Y148" s="15">
        <f t="shared" si="37"/>
        <v>-1.5716251361207197E-2</v>
      </c>
      <c r="Z148" s="47">
        <f t="shared" si="38"/>
        <v>-1.361504188086194E-2</v>
      </c>
    </row>
    <row r="149" spans="1:26" x14ac:dyDescent="0.25">
      <c r="A149" s="2" t="s">
        <v>70</v>
      </c>
      <c r="B149" s="12">
        <v>2021</v>
      </c>
      <c r="C149" s="3">
        <v>2915091000</v>
      </c>
      <c r="D149" s="3">
        <v>-14960885000</v>
      </c>
      <c r="E149" s="3">
        <f t="shared" si="26"/>
        <v>17875976000</v>
      </c>
      <c r="F149" s="3">
        <v>186445787000</v>
      </c>
      <c r="G149" s="15">
        <f t="shared" si="27"/>
        <v>9.5877607575010529E-2</v>
      </c>
      <c r="H149" s="16">
        <f t="shared" si="28"/>
        <v>5.3634893879366664E-12</v>
      </c>
      <c r="I149" s="3">
        <v>30017394000</v>
      </c>
      <c r="J149" s="3">
        <v>15363890000</v>
      </c>
      <c r="K149" s="3">
        <f t="shared" si="29"/>
        <v>14653504000</v>
      </c>
      <c r="L149" s="15">
        <f t="shared" si="30"/>
        <v>7.859391320008749E-2</v>
      </c>
      <c r="M149" s="3">
        <v>178730833000</v>
      </c>
      <c r="N149" s="15">
        <f t="shared" si="31"/>
        <v>0.95862092609258043</v>
      </c>
      <c r="O149" s="16">
        <v>0.11600000000000001</v>
      </c>
      <c r="P149" s="16">
        <v>0.25700000000000001</v>
      </c>
      <c r="Q149" s="16">
        <v>-0.25900000000000001</v>
      </c>
      <c r="R149" s="3">
        <f>1735262000</f>
        <v>1735262000</v>
      </c>
      <c r="S149" s="3">
        <v>395002000</v>
      </c>
      <c r="T149" s="3">
        <f t="shared" si="32"/>
        <v>1340260000</v>
      </c>
      <c r="U149" s="15">
        <f t="shared" si="33"/>
        <v>7.1405442913011485E-2</v>
      </c>
      <c r="V149" s="16">
        <f t="shared" si="34"/>
        <v>6.2216476900065337E-13</v>
      </c>
      <c r="W149" s="16">
        <f t="shared" si="35"/>
        <v>1.8351198828643951E-2</v>
      </c>
      <c r="X149" s="16">
        <f t="shared" si="36"/>
        <v>-0.24828281985797834</v>
      </c>
      <c r="Y149" s="15">
        <f t="shared" si="37"/>
        <v>-0.22993162102871223</v>
      </c>
      <c r="Z149" s="47">
        <f t="shared" si="38"/>
        <v>0.32580922860372274</v>
      </c>
    </row>
    <row r="150" spans="1:26" x14ac:dyDescent="0.25">
      <c r="A150" s="2"/>
      <c r="B150" s="12">
        <v>2022</v>
      </c>
      <c r="C150" s="3">
        <v>3564619000</v>
      </c>
      <c r="D150" s="3">
        <v>10134121000</v>
      </c>
      <c r="E150" s="3">
        <f t="shared" si="26"/>
        <v>-6569502000</v>
      </c>
      <c r="F150" s="3">
        <v>284301347000</v>
      </c>
      <c r="G150" s="15">
        <f t="shared" si="27"/>
        <v>-2.3107530334705025E-2</v>
      </c>
      <c r="H150" s="16">
        <f t="shared" si="28"/>
        <v>3.5173945201181198E-12</v>
      </c>
      <c r="I150" s="3">
        <v>35020275000</v>
      </c>
      <c r="J150" s="3">
        <v>30017394000</v>
      </c>
      <c r="K150" s="3">
        <f t="shared" si="29"/>
        <v>5002881000</v>
      </c>
      <c r="L150" s="15">
        <f t="shared" si="30"/>
        <v>1.7597106214203059E-2</v>
      </c>
      <c r="M150" s="3">
        <v>185549109000</v>
      </c>
      <c r="N150" s="15">
        <f t="shared" si="31"/>
        <v>0.65264941920939967</v>
      </c>
      <c r="O150" s="16">
        <v>0.11600000000000001</v>
      </c>
      <c r="P150" s="16">
        <v>0.25700000000000001</v>
      </c>
      <c r="Q150" s="16">
        <v>-0.25900000000000001</v>
      </c>
      <c r="R150" s="3">
        <v>1541185000</v>
      </c>
      <c r="S150" s="3">
        <f>1735262000</f>
        <v>1735262000</v>
      </c>
      <c r="T150" s="3">
        <f t="shared" si="32"/>
        <v>-194077000</v>
      </c>
      <c r="U150" s="15">
        <f t="shared" si="33"/>
        <v>1.8279751590484023E-2</v>
      </c>
      <c r="V150" s="16">
        <f t="shared" si="34"/>
        <v>4.0801776433370193E-13</v>
      </c>
      <c r="W150" s="16">
        <f t="shared" si="35"/>
        <v>4.6978961587543942E-3</v>
      </c>
      <c r="X150" s="16">
        <f t="shared" si="36"/>
        <v>-0.16903619957523452</v>
      </c>
      <c r="Y150" s="15">
        <f t="shared" si="37"/>
        <v>-0.16433830341607211</v>
      </c>
      <c r="Z150" s="47">
        <f t="shared" si="38"/>
        <v>0.14123077308136708</v>
      </c>
    </row>
    <row r="151" spans="1:26" x14ac:dyDescent="0.25">
      <c r="A151" s="2"/>
      <c r="B151" s="12">
        <v>2023</v>
      </c>
      <c r="C151" s="3">
        <v>3861987000</v>
      </c>
      <c r="D151" s="3">
        <v>-2150874000</v>
      </c>
      <c r="E151" s="3">
        <f t="shared" si="26"/>
        <v>6012861000</v>
      </c>
      <c r="F151" s="3">
        <v>290584130000</v>
      </c>
      <c r="G151" s="15">
        <f t="shared" si="27"/>
        <v>2.0692324112813732E-2</v>
      </c>
      <c r="H151" s="16">
        <f t="shared" si="28"/>
        <v>3.4413441642528793E-12</v>
      </c>
      <c r="I151" s="3">
        <v>35730275000</v>
      </c>
      <c r="J151" s="3">
        <v>35020275000</v>
      </c>
      <c r="K151" s="3">
        <f t="shared" si="29"/>
        <v>710000000</v>
      </c>
      <c r="L151" s="15">
        <f t="shared" si="30"/>
        <v>2.4433543566195442E-3</v>
      </c>
      <c r="M151" s="3">
        <v>201333848000</v>
      </c>
      <c r="N151" s="15">
        <f t="shared" si="31"/>
        <v>0.69285906288137622</v>
      </c>
      <c r="O151" s="16">
        <v>0.11600000000000001</v>
      </c>
      <c r="P151" s="16">
        <v>0.25700000000000001</v>
      </c>
      <c r="Q151" s="16">
        <v>-0.25900000000000001</v>
      </c>
      <c r="R151" s="3">
        <f>4758755000</f>
        <v>4758755000</v>
      </c>
      <c r="S151" s="3">
        <v>1541185000</v>
      </c>
      <c r="T151" s="3">
        <f t="shared" si="32"/>
        <v>3217570000</v>
      </c>
      <c r="U151" s="15">
        <f t="shared" si="33"/>
        <v>-8.6294113859555922E-3</v>
      </c>
      <c r="V151" s="16">
        <f t="shared" si="34"/>
        <v>3.99195923053334E-13</v>
      </c>
      <c r="W151" s="16">
        <f t="shared" si="35"/>
        <v>-2.2177587261905871E-3</v>
      </c>
      <c r="X151" s="16">
        <f t="shared" si="36"/>
        <v>-0.17945049728627643</v>
      </c>
      <c r="Y151" s="15">
        <f t="shared" si="37"/>
        <v>-0.18166825601206782</v>
      </c>
      <c r="Z151" s="47">
        <f t="shared" si="38"/>
        <v>0.20236058012488156</v>
      </c>
    </row>
    <row r="152" spans="1:26" x14ac:dyDescent="0.25">
      <c r="A152" s="2" t="s">
        <v>71</v>
      </c>
      <c r="B152" s="12">
        <v>2021</v>
      </c>
      <c r="C152" s="3">
        <v>1239313000000</v>
      </c>
      <c r="D152" s="3">
        <v>1770527000000</v>
      </c>
      <c r="E152" s="3">
        <f t="shared" si="26"/>
        <v>-531214000000</v>
      </c>
      <c r="F152" s="3">
        <v>5082421000000</v>
      </c>
      <c r="G152" s="15">
        <f t="shared" si="27"/>
        <v>-0.10451987350123101</v>
      </c>
      <c r="H152" s="16">
        <f t="shared" si="28"/>
        <v>1.9675662445122118E-13</v>
      </c>
      <c r="I152" s="3">
        <v>5883920000000</v>
      </c>
      <c r="J152" s="3">
        <v>4203947000000</v>
      </c>
      <c r="K152" s="3">
        <f t="shared" si="29"/>
        <v>1679973000000</v>
      </c>
      <c r="L152" s="15">
        <f t="shared" si="30"/>
        <v>0.33054581664919142</v>
      </c>
      <c r="M152" s="3">
        <v>3882392000000</v>
      </c>
      <c r="N152" s="15">
        <f t="shared" si="31"/>
        <v>0.76388634471642547</v>
      </c>
      <c r="O152" s="16">
        <v>0.11600000000000001</v>
      </c>
      <c r="P152" s="16">
        <v>0.25700000000000001</v>
      </c>
      <c r="Q152" s="16">
        <v>-0.25900000000000001</v>
      </c>
      <c r="R152" s="3">
        <f>37137000000+2495000000+177000000</f>
        <v>39809000000</v>
      </c>
      <c r="S152" s="3">
        <f>93226000000+65000000+4966000000+65000000</f>
        <v>98322000000</v>
      </c>
      <c r="T152" s="3">
        <f t="shared" si="32"/>
        <v>-58513000000</v>
      </c>
      <c r="U152" s="15">
        <f t="shared" si="33"/>
        <v>0.34205863701570571</v>
      </c>
      <c r="V152" s="16">
        <f t="shared" si="34"/>
        <v>2.2823768436341658E-14</v>
      </c>
      <c r="W152" s="16">
        <f t="shared" si="35"/>
        <v>8.7909069713036372E-2</v>
      </c>
      <c r="X152" s="16">
        <f t="shared" si="36"/>
        <v>-0.1978465632815542</v>
      </c>
      <c r="Y152" s="15">
        <f t="shared" si="37"/>
        <v>-0.109937493568495</v>
      </c>
      <c r="Z152" s="47">
        <f t="shared" si="38"/>
        <v>5.417620067263984E-3</v>
      </c>
    </row>
    <row r="153" spans="1:26" x14ac:dyDescent="0.25">
      <c r="A153" s="2"/>
      <c r="B153" s="12">
        <v>2022</v>
      </c>
      <c r="C153" s="3">
        <v>1280861000000</v>
      </c>
      <c r="D153" s="3">
        <v>1431297000000</v>
      </c>
      <c r="E153" s="3">
        <f t="shared" si="26"/>
        <v>-150436000000</v>
      </c>
      <c r="F153" s="3">
        <v>5858580000000</v>
      </c>
      <c r="G153" s="15">
        <f t="shared" si="27"/>
        <v>-2.5677894643411886E-2</v>
      </c>
      <c r="H153" s="16">
        <f t="shared" si="28"/>
        <v>1.7068982586223966E-13</v>
      </c>
      <c r="I153" s="3">
        <v>6045448000000</v>
      </c>
      <c r="J153" s="3">
        <v>5883920000000</v>
      </c>
      <c r="K153" s="3">
        <f t="shared" si="29"/>
        <v>161528000000</v>
      </c>
      <c r="L153" s="15">
        <f t="shared" si="30"/>
        <v>2.7571186191875846E-2</v>
      </c>
      <c r="M153" s="3">
        <v>4092517000000</v>
      </c>
      <c r="N153" s="15">
        <f t="shared" si="31"/>
        <v>0.69855101406825548</v>
      </c>
      <c r="O153" s="16">
        <v>0.11600000000000001</v>
      </c>
      <c r="P153" s="16">
        <v>0.25700000000000001</v>
      </c>
      <c r="Q153" s="16">
        <v>-0.25900000000000001</v>
      </c>
      <c r="R153" s="3">
        <f>90798000000+5518000000+4077000000</f>
        <v>100393000000</v>
      </c>
      <c r="S153" s="3">
        <f>37137000000+2495000000+177000000</f>
        <v>39809000000</v>
      </c>
      <c r="T153" s="3">
        <f t="shared" si="32"/>
        <v>60584000000</v>
      </c>
      <c r="U153" s="15">
        <f t="shared" si="33"/>
        <v>1.7230113781837919E-2</v>
      </c>
      <c r="V153" s="16">
        <f t="shared" si="34"/>
        <v>1.9800019800019801E-14</v>
      </c>
      <c r="W153" s="16">
        <f t="shared" si="35"/>
        <v>4.428139241932345E-3</v>
      </c>
      <c r="X153" s="16">
        <f t="shared" si="36"/>
        <v>-0.18092471264367818</v>
      </c>
      <c r="Y153" s="15">
        <f t="shared" si="37"/>
        <v>-0.17649657340172603</v>
      </c>
      <c r="Z153" s="47">
        <f t="shared" si="38"/>
        <v>0.15081867875831415</v>
      </c>
    </row>
    <row r="154" spans="1:26" x14ac:dyDescent="0.25">
      <c r="A154" s="2"/>
      <c r="B154" s="12">
        <v>2023</v>
      </c>
      <c r="C154" s="3">
        <v>782252000000</v>
      </c>
      <c r="D154" s="3">
        <v>1045411000000</v>
      </c>
      <c r="E154" s="3">
        <f t="shared" si="26"/>
        <v>-263159000000</v>
      </c>
      <c r="F154" s="3">
        <v>7012183000000</v>
      </c>
      <c r="G154" s="15">
        <f t="shared" si="27"/>
        <v>-3.7528826615049839E-2</v>
      </c>
      <c r="H154" s="16">
        <f t="shared" si="28"/>
        <v>1.4260894217963222E-13</v>
      </c>
      <c r="I154" s="3">
        <v>5285201000000</v>
      </c>
      <c r="J154" s="3">
        <v>6045448000000</v>
      </c>
      <c r="K154" s="3">
        <f t="shared" si="29"/>
        <v>-760247000000</v>
      </c>
      <c r="L154" s="15">
        <f t="shared" si="30"/>
        <v>-0.10841802046523885</v>
      </c>
      <c r="M154" s="3">
        <v>4380972000000</v>
      </c>
      <c r="N154" s="15">
        <f t="shared" si="31"/>
        <v>0.62476578263858773</v>
      </c>
      <c r="O154" s="16">
        <v>0.11600000000000001</v>
      </c>
      <c r="P154" s="16">
        <v>0.25700000000000001</v>
      </c>
      <c r="Q154" s="16">
        <v>-0.25900000000000001</v>
      </c>
      <c r="R154" s="3">
        <f>93729000000+5728000000+128000000</f>
        <v>99585000000</v>
      </c>
      <c r="S154" s="3">
        <f>90798000000+5518000000+4077000000</f>
        <v>100393000000</v>
      </c>
      <c r="T154" s="3">
        <f t="shared" si="32"/>
        <v>-808000000</v>
      </c>
      <c r="U154" s="15">
        <f t="shared" si="33"/>
        <v>-0.10830279243995772</v>
      </c>
      <c r="V154" s="16">
        <f t="shared" si="34"/>
        <v>1.6542637292837338E-14</v>
      </c>
      <c r="W154" s="16">
        <f t="shared" si="35"/>
        <v>-2.7833817657069135E-2</v>
      </c>
      <c r="X154" s="16">
        <f t="shared" si="36"/>
        <v>-0.16181433770339423</v>
      </c>
      <c r="Y154" s="15">
        <f t="shared" si="37"/>
        <v>-0.18964815536044682</v>
      </c>
      <c r="Z154" s="47">
        <f t="shared" si="38"/>
        <v>0.15211932874539699</v>
      </c>
    </row>
    <row r="155" spans="1:26" x14ac:dyDescent="0.25">
      <c r="A155" s="1" t="s">
        <v>28</v>
      </c>
      <c r="B155" s="12">
        <v>2021</v>
      </c>
      <c r="C155" s="3">
        <v>475983374390</v>
      </c>
      <c r="D155" s="3">
        <v>499071136681</v>
      </c>
      <c r="E155" s="3">
        <f t="shared" si="26"/>
        <v>-23087762291</v>
      </c>
      <c r="F155" s="3">
        <v>1970340289520</v>
      </c>
      <c r="G155" s="15">
        <f t="shared" si="27"/>
        <v>-1.1717652231851013E-2</v>
      </c>
      <c r="H155" s="16">
        <f t="shared" si="28"/>
        <v>5.0752654519570964E-13</v>
      </c>
      <c r="I155" s="3">
        <v>2554880982584</v>
      </c>
      <c r="J155" s="3">
        <v>2211743593136</v>
      </c>
      <c r="K155" s="3">
        <f t="shared" si="29"/>
        <v>343137389448</v>
      </c>
      <c r="L155" s="15">
        <f t="shared" si="30"/>
        <v>0.1741513337940182</v>
      </c>
      <c r="M155" s="3">
        <v>766149629601</v>
      </c>
      <c r="N155" s="15">
        <f t="shared" si="31"/>
        <v>0.38884127461436818</v>
      </c>
      <c r="O155" s="16">
        <v>0.11600000000000001</v>
      </c>
      <c r="P155" s="16">
        <v>0.25700000000000001</v>
      </c>
      <c r="Q155" s="16">
        <v>-0.25900000000000001</v>
      </c>
      <c r="R155" s="3">
        <f>645746213801+35752013917+953025114</f>
        <v>682451252832</v>
      </c>
      <c r="S155" s="3">
        <f>577258937189+37334730323+1413912149</f>
        <v>616007579661</v>
      </c>
      <c r="T155" s="3">
        <f t="shared" si="32"/>
        <v>66443673171</v>
      </c>
      <c r="U155" s="15">
        <f t="shared" si="33"/>
        <v>0.14042940589942771</v>
      </c>
      <c r="V155" s="16">
        <f t="shared" si="34"/>
        <v>5.8873079242702322E-14</v>
      </c>
      <c r="W155" s="16">
        <f t="shared" si="35"/>
        <v>3.609035731615292E-2</v>
      </c>
      <c r="X155" s="16">
        <f t="shared" si="36"/>
        <v>-0.10070989012512137</v>
      </c>
      <c r="Y155" s="15">
        <f t="shared" si="37"/>
        <v>-6.4619532808909572E-2</v>
      </c>
      <c r="Z155" s="47">
        <f t="shared" si="38"/>
        <v>5.2901880577058559E-2</v>
      </c>
    </row>
    <row r="156" spans="1:26" x14ac:dyDescent="0.25">
      <c r="A156" s="1"/>
      <c r="B156" s="12">
        <v>2022</v>
      </c>
      <c r="C156" s="3">
        <v>581557410601</v>
      </c>
      <c r="D156" s="3">
        <v>465550947703</v>
      </c>
      <c r="E156" s="3">
        <f t="shared" si="26"/>
        <v>116006462898</v>
      </c>
      <c r="F156" s="3">
        <v>2243523072803</v>
      </c>
      <c r="G156" s="15">
        <f t="shared" si="27"/>
        <v>5.1707274288498632E-2</v>
      </c>
      <c r="H156" s="16">
        <f t="shared" si="28"/>
        <v>4.4572753100801665E-13</v>
      </c>
      <c r="I156" s="3">
        <v>2586665297217</v>
      </c>
      <c r="J156" s="3">
        <v>2554880982584</v>
      </c>
      <c r="K156" s="3">
        <f t="shared" si="29"/>
        <v>31784314633</v>
      </c>
      <c r="L156" s="15">
        <f t="shared" si="30"/>
        <v>1.4167144086149065E-2</v>
      </c>
      <c r="M156" s="3">
        <v>945337647904</v>
      </c>
      <c r="N156" s="15">
        <f t="shared" si="31"/>
        <v>0.42136301576917568</v>
      </c>
      <c r="O156" s="16">
        <v>0.11600000000000001</v>
      </c>
      <c r="P156" s="16">
        <v>0.25700000000000001</v>
      </c>
      <c r="Q156" s="16">
        <v>-0.25900000000000001</v>
      </c>
      <c r="R156" s="3">
        <f>698144786602+36068039437+878781732</f>
        <v>735091607771</v>
      </c>
      <c r="S156" s="3">
        <f>645746213801+35752013917+953025114</f>
        <v>682451252832</v>
      </c>
      <c r="T156" s="3">
        <f t="shared" si="32"/>
        <v>52640354939</v>
      </c>
      <c r="U156" s="15">
        <f t="shared" si="33"/>
        <v>-9.2961113521970607E-3</v>
      </c>
      <c r="V156" s="16">
        <f t="shared" si="34"/>
        <v>5.1704393596929931E-14</v>
      </c>
      <c r="W156" s="16">
        <f t="shared" si="35"/>
        <v>-2.3891006175146448E-3</v>
      </c>
      <c r="X156" s="16">
        <f t="shared" si="36"/>
        <v>-0.10913302108421651</v>
      </c>
      <c r="Y156" s="15">
        <f t="shared" si="37"/>
        <v>-0.11152212170167945</v>
      </c>
      <c r="Z156" s="47">
        <f t="shared" si="38"/>
        <v>0.16322939599017808</v>
      </c>
    </row>
    <row r="157" spans="1:26" x14ac:dyDescent="0.25">
      <c r="A157" s="1"/>
      <c r="B157" s="12">
        <v>2023</v>
      </c>
      <c r="C157" s="3">
        <v>449080121387</v>
      </c>
      <c r="D157" s="3">
        <v>344011362465</v>
      </c>
      <c r="E157" s="3">
        <f t="shared" si="26"/>
        <v>105068758922</v>
      </c>
      <c r="F157" s="3">
        <v>2578868615545</v>
      </c>
      <c r="G157" s="15">
        <f t="shared" si="27"/>
        <v>4.0742191474456138E-2</v>
      </c>
      <c r="H157" s="16">
        <f t="shared" si="28"/>
        <v>3.8776694321384305E-13</v>
      </c>
      <c r="I157" s="3">
        <v>2447442037597</v>
      </c>
      <c r="J157" s="3">
        <v>2586665297217</v>
      </c>
      <c r="K157" s="3">
        <f t="shared" si="29"/>
        <v>-139223259620</v>
      </c>
      <c r="L157" s="15">
        <f t="shared" si="30"/>
        <v>-5.3986177807114663E-2</v>
      </c>
      <c r="M157" s="3">
        <v>1007121724799</v>
      </c>
      <c r="N157" s="15">
        <f t="shared" si="31"/>
        <v>0.39052851266956146</v>
      </c>
      <c r="O157" s="16">
        <v>0.11600000000000001</v>
      </c>
      <c r="P157" s="16">
        <v>0.25700000000000001</v>
      </c>
      <c r="Q157" s="16">
        <v>-0.25900000000000001</v>
      </c>
      <c r="R157" s="3">
        <f>802962424172+52613894454+1698849159</f>
        <v>857275167785</v>
      </c>
      <c r="S157" s="3">
        <f>698144786602+36068039437+878781732</f>
        <v>735091607771</v>
      </c>
      <c r="T157" s="3">
        <f t="shared" si="32"/>
        <v>122183560014</v>
      </c>
      <c r="U157" s="15">
        <f t="shared" si="33"/>
        <v>-0.10136492338472858</v>
      </c>
      <c r="V157" s="16">
        <f t="shared" si="34"/>
        <v>4.4980965412805798E-14</v>
      </c>
      <c r="W157" s="16">
        <f t="shared" si="35"/>
        <v>-2.6050785309875247E-2</v>
      </c>
      <c r="X157" s="16">
        <f t="shared" si="36"/>
        <v>-0.10114688478141642</v>
      </c>
      <c r="Y157" s="15">
        <f t="shared" si="37"/>
        <v>-0.12719767009124669</v>
      </c>
      <c r="Z157" s="47">
        <f t="shared" si="38"/>
        <v>0.16793986156570284</v>
      </c>
    </row>
    <row r="158" spans="1:26" x14ac:dyDescent="0.25">
      <c r="A158" s="1" t="s">
        <v>29</v>
      </c>
      <c r="B158" s="12">
        <v>2021</v>
      </c>
      <c r="C158" s="3">
        <v>87311000000</v>
      </c>
      <c r="D158" s="3">
        <v>616103000000</v>
      </c>
      <c r="E158" s="3">
        <f t="shared" si="26"/>
        <v>-528792000000</v>
      </c>
      <c r="F158" s="3">
        <v>2288831000000</v>
      </c>
      <c r="G158" s="15">
        <f t="shared" si="27"/>
        <v>-0.23103147414553543</v>
      </c>
      <c r="H158" s="16">
        <f t="shared" si="28"/>
        <v>4.3690425374350488E-13</v>
      </c>
      <c r="I158" s="3">
        <v>3299105000000</v>
      </c>
      <c r="J158" s="3">
        <v>3348871000000</v>
      </c>
      <c r="K158" s="3">
        <f t="shared" si="29"/>
        <v>-49766000000</v>
      </c>
      <c r="L158" s="15">
        <f t="shared" si="30"/>
        <v>-2.1742977091799263E-2</v>
      </c>
      <c r="M158" s="3">
        <v>352919000000</v>
      </c>
      <c r="N158" s="15">
        <f t="shared" si="31"/>
        <v>0.15419181232690399</v>
      </c>
      <c r="O158" s="16">
        <v>0.11600000000000001</v>
      </c>
      <c r="P158" s="16">
        <v>0.25700000000000001</v>
      </c>
      <c r="Q158" s="16">
        <v>-0.25900000000000001</v>
      </c>
      <c r="R158" s="3">
        <f>478616000000+167862000000+8889000000</f>
        <v>655367000000</v>
      </c>
      <c r="S158" s="3">
        <f>360708000000+106466000000+14871000000</f>
        <v>482045000000</v>
      </c>
      <c r="T158" s="3">
        <f t="shared" si="32"/>
        <v>173322000000</v>
      </c>
      <c r="U158" s="15">
        <f t="shared" si="33"/>
        <v>-9.7468096159131018E-2</v>
      </c>
      <c r="V158" s="16">
        <f t="shared" si="34"/>
        <v>5.0680893434246568E-14</v>
      </c>
      <c r="W158" s="16">
        <f t="shared" si="35"/>
        <v>-2.5049300712896672E-2</v>
      </c>
      <c r="X158" s="16">
        <f t="shared" si="36"/>
        <v>-3.9935679392668136E-2</v>
      </c>
      <c r="Y158" s="15">
        <f t="shared" si="37"/>
        <v>-6.4984980105514123E-2</v>
      </c>
      <c r="Z158" s="47">
        <f t="shared" si="38"/>
        <v>-0.16604649404002131</v>
      </c>
    </row>
    <row r="159" spans="1:26" x14ac:dyDescent="0.25">
      <c r="A159" s="1"/>
      <c r="B159" s="12">
        <v>2022</v>
      </c>
      <c r="C159" s="3">
        <v>97071000000</v>
      </c>
      <c r="D159" s="3">
        <v>284587000000</v>
      </c>
      <c r="E159" s="3">
        <f t="shared" si="26"/>
        <v>-187516000000</v>
      </c>
      <c r="F159" s="3">
        <v>2655278000000</v>
      </c>
      <c r="G159" s="15">
        <f t="shared" si="27"/>
        <v>-7.0620100795472263E-2</v>
      </c>
      <c r="H159" s="16">
        <f t="shared" si="28"/>
        <v>3.7660840032569094E-13</v>
      </c>
      <c r="I159" s="3">
        <v>2909972000000</v>
      </c>
      <c r="J159" s="3">
        <v>3299105000000</v>
      </c>
      <c r="K159" s="3">
        <f t="shared" si="29"/>
        <v>-389133000000</v>
      </c>
      <c r="L159" s="15">
        <f t="shared" si="30"/>
        <v>-0.1465507566439371</v>
      </c>
      <c r="M159" s="3">
        <v>339561000000</v>
      </c>
      <c r="N159" s="15">
        <f t="shared" si="31"/>
        <v>0.12788152502299194</v>
      </c>
      <c r="O159" s="16">
        <v>0.11600000000000001</v>
      </c>
      <c r="P159" s="16">
        <v>0.25700000000000001</v>
      </c>
      <c r="Q159" s="16">
        <v>-0.25900000000000001</v>
      </c>
      <c r="R159" s="3">
        <f>345965000000+211636000000+4939000000</f>
        <v>562540000000</v>
      </c>
      <c r="S159" s="3">
        <f>478616000000+167862000000+8889000000</f>
        <v>655367000000</v>
      </c>
      <c r="T159" s="3">
        <f t="shared" si="32"/>
        <v>-92827000000</v>
      </c>
      <c r="U159" s="15">
        <f t="shared" si="33"/>
        <v>-0.11159132866690417</v>
      </c>
      <c r="V159" s="16">
        <f t="shared" si="34"/>
        <v>4.3686574437780151E-14</v>
      </c>
      <c r="W159" s="16">
        <f t="shared" si="35"/>
        <v>-2.8678971467394374E-2</v>
      </c>
      <c r="X159" s="16">
        <f t="shared" si="36"/>
        <v>-3.3121314980954913E-2</v>
      </c>
      <c r="Y159" s="15">
        <f t="shared" si="37"/>
        <v>-6.1800286448305597E-2</v>
      </c>
      <c r="Z159" s="47">
        <f t="shared" si="38"/>
        <v>-8.8198143471666657E-3</v>
      </c>
    </row>
    <row r="160" spans="1:26" x14ac:dyDescent="0.25">
      <c r="A160" s="1"/>
      <c r="B160" s="12">
        <v>2023</v>
      </c>
      <c r="C160" s="3">
        <v>141073000000</v>
      </c>
      <c r="D160" s="3">
        <v>97102000000</v>
      </c>
      <c r="E160" s="3">
        <f t="shared" si="26"/>
        <v>43971000000</v>
      </c>
      <c r="F160" s="3">
        <v>2677651000000</v>
      </c>
      <c r="G160" s="15">
        <f t="shared" si="27"/>
        <v>1.6421482859416706E-2</v>
      </c>
      <c r="H160" s="16">
        <f t="shared" si="28"/>
        <v>3.7346166472030898E-13</v>
      </c>
      <c r="I160" s="3">
        <v>2968952000000</v>
      </c>
      <c r="J160" s="3">
        <v>2909972000000</v>
      </c>
      <c r="K160" s="3">
        <f t="shared" si="29"/>
        <v>58980000000</v>
      </c>
      <c r="L160" s="15">
        <f t="shared" si="30"/>
        <v>2.2026768985203823E-2</v>
      </c>
      <c r="M160" s="3">
        <v>415061000000</v>
      </c>
      <c r="N160" s="15">
        <f t="shared" si="31"/>
        <v>0.15500937202047615</v>
      </c>
      <c r="O160" s="16">
        <v>0.11600000000000001</v>
      </c>
      <c r="P160" s="16">
        <v>0.25700000000000001</v>
      </c>
      <c r="Q160" s="16">
        <v>-0.25900000000000001</v>
      </c>
      <c r="R160" s="3">
        <f>313895000000+180266000000+5474000000</f>
        <v>499635000000</v>
      </c>
      <c r="S160" s="3">
        <f>345965000000+211636000000+4939000000</f>
        <v>562540000000</v>
      </c>
      <c r="T160" s="3">
        <f t="shared" si="32"/>
        <v>-62905000000</v>
      </c>
      <c r="U160" s="15">
        <f t="shared" si="33"/>
        <v>4.5519375004434856E-2</v>
      </c>
      <c r="V160" s="16">
        <f t="shared" si="34"/>
        <v>4.3321553107555842E-14</v>
      </c>
      <c r="W160" s="16">
        <f t="shared" si="35"/>
        <v>1.1698479376139758E-2</v>
      </c>
      <c r="X160" s="16">
        <f t="shared" si="36"/>
        <v>-4.0147427353303324E-2</v>
      </c>
      <c r="Y160" s="15">
        <f t="shared" si="37"/>
        <v>-2.8448947977120245E-2</v>
      </c>
      <c r="Z160" s="47">
        <f t="shared" si="38"/>
        <v>4.4870430836536954E-2</v>
      </c>
    </row>
    <row r="161" spans="1:26" x14ac:dyDescent="0.25">
      <c r="A161" s="1" t="s">
        <v>30</v>
      </c>
      <c r="B161" s="12">
        <v>2021</v>
      </c>
      <c r="C161" s="3">
        <v>25586000000000</v>
      </c>
      <c r="D161" s="3">
        <v>38252000000000</v>
      </c>
      <c r="E161" s="3">
        <f t="shared" si="26"/>
        <v>-12666000000000</v>
      </c>
      <c r="F161" s="3">
        <v>338203000000000</v>
      </c>
      <c r="G161" s="15">
        <f t="shared" si="27"/>
        <v>-3.7450880092725375E-2</v>
      </c>
      <c r="H161" s="16">
        <f t="shared" si="28"/>
        <v>2.9568040496388263E-15</v>
      </c>
      <c r="I161" s="3">
        <v>233485000000000</v>
      </c>
      <c r="J161" s="3">
        <v>175046000000000</v>
      </c>
      <c r="K161" s="3">
        <f t="shared" si="29"/>
        <v>58439000000000</v>
      </c>
      <c r="L161" s="15">
        <f t="shared" si="30"/>
        <v>0.17279267185684338</v>
      </c>
      <c r="M161" s="3">
        <v>55349000000000</v>
      </c>
      <c r="N161" s="15">
        <f t="shared" si="31"/>
        <v>0.1636561473434594</v>
      </c>
      <c r="O161" s="16">
        <v>0.11600000000000001</v>
      </c>
      <c r="P161" s="16">
        <v>0.25700000000000001</v>
      </c>
      <c r="Q161" s="16">
        <v>-0.25900000000000001</v>
      </c>
      <c r="R161" s="3">
        <f>1925000000000+19905000000000+691000000000+3782000000000+34458000000000</f>
        <v>60761000000000</v>
      </c>
      <c r="S161" s="3">
        <f>1475000000000+15556000000000+580000000000+4317000000000+32379000000000</f>
        <v>54307000000000</v>
      </c>
      <c r="T161" s="3">
        <f t="shared" si="32"/>
        <v>6454000000000</v>
      </c>
      <c r="U161" s="15">
        <f t="shared" si="33"/>
        <v>0.15370945852047438</v>
      </c>
      <c r="V161" s="16">
        <f t="shared" si="34"/>
        <v>3.4298926975810385E-16</v>
      </c>
      <c r="W161" s="16">
        <f t="shared" si="35"/>
        <v>3.9503330839761916E-2</v>
      </c>
      <c r="X161" s="16">
        <f t="shared" si="36"/>
        <v>-4.2386942161955987E-2</v>
      </c>
      <c r="Y161" s="15">
        <f t="shared" si="37"/>
        <v>-2.8836113221937312E-3</v>
      </c>
      <c r="Z161" s="47">
        <f t="shared" si="38"/>
        <v>-3.4567268770531644E-2</v>
      </c>
    </row>
    <row r="162" spans="1:26" x14ac:dyDescent="0.25">
      <c r="A162" s="1"/>
      <c r="B162" s="12">
        <v>2022</v>
      </c>
      <c r="C162" s="3">
        <v>40420000000000</v>
      </c>
      <c r="D162" s="3">
        <v>37342000000000</v>
      </c>
      <c r="E162" s="3">
        <f t="shared" si="26"/>
        <v>3078000000000</v>
      </c>
      <c r="F162" s="3">
        <v>367311000000000</v>
      </c>
      <c r="G162" s="15">
        <f t="shared" si="27"/>
        <v>8.3798198257062813E-3</v>
      </c>
      <c r="H162" s="16">
        <f t="shared" si="28"/>
        <v>2.7224885723542174E-15</v>
      </c>
      <c r="I162" s="3">
        <v>301379000000000</v>
      </c>
      <c r="J162" s="3">
        <v>233485000000000</v>
      </c>
      <c r="K162" s="3">
        <f t="shared" si="29"/>
        <v>67894000000000</v>
      </c>
      <c r="L162" s="15">
        <f t="shared" si="30"/>
        <v>0.18484063913141724</v>
      </c>
      <c r="M162" s="3">
        <v>59536000000000</v>
      </c>
      <c r="N162" s="15">
        <f t="shared" si="31"/>
        <v>0.16208607964368069</v>
      </c>
      <c r="O162" s="16">
        <v>0.11600000000000001</v>
      </c>
      <c r="P162" s="16">
        <v>0.25700000000000001</v>
      </c>
      <c r="Q162" s="16">
        <v>-0.25900000000000001</v>
      </c>
      <c r="R162" s="3">
        <f>2467000000000+26958000000000+36838000000000+599000000000+4977000000000</f>
        <v>71839000000000</v>
      </c>
      <c r="S162" s="3">
        <f>1925000000000+19905000000000+691000000000+3782000000000+34458000000000</f>
        <v>60761000000000</v>
      </c>
      <c r="T162" s="3">
        <f t="shared" si="32"/>
        <v>11078000000000</v>
      </c>
      <c r="U162" s="15">
        <f t="shared" si="33"/>
        <v>0.15468091072687723</v>
      </c>
      <c r="V162" s="16">
        <f t="shared" si="34"/>
        <v>3.1580867439308921E-16</v>
      </c>
      <c r="W162" s="16">
        <f t="shared" si="35"/>
        <v>3.9752994056807447E-2</v>
      </c>
      <c r="X162" s="16">
        <f t="shared" si="36"/>
        <v>-4.1980294627713299E-2</v>
      </c>
      <c r="Y162" s="15">
        <f t="shared" si="37"/>
        <v>-2.2273005709055327E-3</v>
      </c>
      <c r="Z162" s="47">
        <f t="shared" si="38"/>
        <v>1.0607120396611814E-2</v>
      </c>
    </row>
    <row r="163" spans="1:26" x14ac:dyDescent="0.25">
      <c r="A163" s="1"/>
      <c r="B163" s="12">
        <v>2023</v>
      </c>
      <c r="C163" s="3">
        <v>44501000000000</v>
      </c>
      <c r="D163" s="3">
        <v>33746000000000</v>
      </c>
      <c r="E163" s="3">
        <f t="shared" si="26"/>
        <v>10755000000000</v>
      </c>
      <c r="F163" s="3">
        <v>413297000000000</v>
      </c>
      <c r="G163" s="15">
        <f t="shared" si="27"/>
        <v>2.6022448747510869E-2</v>
      </c>
      <c r="H163" s="16">
        <f t="shared" si="28"/>
        <v>2.4195675265003133E-15</v>
      </c>
      <c r="I163" s="3">
        <v>316565000000000</v>
      </c>
      <c r="J163" s="3">
        <v>301379000000000</v>
      </c>
      <c r="K163" s="3">
        <f t="shared" si="29"/>
        <v>15186000000000</v>
      </c>
      <c r="L163" s="15">
        <f t="shared" si="30"/>
        <v>3.6743552457433756E-2</v>
      </c>
      <c r="M163" s="3">
        <v>72911000000000</v>
      </c>
      <c r="N163" s="15">
        <f t="shared" si="31"/>
        <v>0.17641308792466434</v>
      </c>
      <c r="O163" s="16">
        <v>0.11600000000000001</v>
      </c>
      <c r="P163" s="16">
        <v>0.25700000000000001</v>
      </c>
      <c r="Q163" s="16">
        <v>-0.25900000000000001</v>
      </c>
      <c r="R163" s="3">
        <f>3301000000000+24637000000000+38568000000000+733000000000+4988000000000</f>
        <v>72227000000000</v>
      </c>
      <c r="S163" s="3">
        <f>2467000000000+26958000000000+36838000000000+599000000000+4977000000000</f>
        <v>71839000000000</v>
      </c>
      <c r="T163" s="3">
        <f t="shared" si="32"/>
        <v>388000000000</v>
      </c>
      <c r="U163" s="15">
        <f t="shared" si="33"/>
        <v>3.5804760257151638E-2</v>
      </c>
      <c r="V163" s="16">
        <f t="shared" si="34"/>
        <v>2.8066983307403634E-16</v>
      </c>
      <c r="W163" s="16">
        <f t="shared" si="35"/>
        <v>9.201823386087972E-3</v>
      </c>
      <c r="X163" s="16">
        <f t="shared" si="36"/>
        <v>-4.5690989772488068E-2</v>
      </c>
      <c r="Y163" s="15">
        <f t="shared" si="37"/>
        <v>-3.6489166386399818E-2</v>
      </c>
      <c r="Z163" s="47">
        <f t="shared" si="38"/>
        <v>6.2511615133910681E-2</v>
      </c>
    </row>
    <row r="164" spans="1:26" x14ac:dyDescent="0.25">
      <c r="A164" s="1" t="s">
        <v>31</v>
      </c>
      <c r="B164" s="12">
        <v>2021</v>
      </c>
      <c r="C164" s="3">
        <v>2537845000000</v>
      </c>
      <c r="D164" s="3">
        <v>5750676000000</v>
      </c>
      <c r="E164" s="3">
        <f t="shared" si="26"/>
        <v>-3212831000000</v>
      </c>
      <c r="F164" s="3">
        <v>59484422000000</v>
      </c>
      <c r="G164" s="15">
        <f t="shared" si="27"/>
        <v>-5.4011300639350585E-2</v>
      </c>
      <c r="H164" s="16">
        <f t="shared" si="28"/>
        <v>1.6811124095649782E-14</v>
      </c>
      <c r="I164" s="3">
        <v>13233657000000</v>
      </c>
      <c r="J164" s="3">
        <v>11518797000000</v>
      </c>
      <c r="K164" s="3">
        <f t="shared" si="29"/>
        <v>1714860000000</v>
      </c>
      <c r="L164" s="15">
        <f t="shared" si="30"/>
        <v>2.8828724266665984E-2</v>
      </c>
      <c r="M164" s="3">
        <v>16122174000000</v>
      </c>
      <c r="N164" s="15">
        <f t="shared" si="31"/>
        <v>0.27103186780565841</v>
      </c>
      <c r="O164" s="16">
        <v>0.11600000000000001</v>
      </c>
      <c r="P164" s="16">
        <v>0.25700000000000001</v>
      </c>
      <c r="Q164" s="16">
        <v>-0.25900000000000001</v>
      </c>
      <c r="R164" s="3">
        <f>21488000000+3557277000000</f>
        <v>3578765000000</v>
      </c>
      <c r="S164" s="3">
        <f>39676000000+3450343000000</f>
        <v>3490019000000</v>
      </c>
      <c r="T164" s="3">
        <f t="shared" si="32"/>
        <v>88746000000</v>
      </c>
      <c r="U164" s="15">
        <f t="shared" si="33"/>
        <v>2.733680424767345E-2</v>
      </c>
      <c r="V164" s="16">
        <f t="shared" si="34"/>
        <v>1.9500903950953749E-15</v>
      </c>
      <c r="W164" s="16">
        <f t="shared" si="35"/>
        <v>7.0255586916520771E-3</v>
      </c>
      <c r="X164" s="16">
        <f t="shared" si="36"/>
        <v>-7.0197253761665537E-2</v>
      </c>
      <c r="Y164" s="15">
        <f t="shared" si="37"/>
        <v>-6.317169507001151E-2</v>
      </c>
      <c r="Z164" s="47">
        <f t="shared" si="38"/>
        <v>9.1603944306609258E-3</v>
      </c>
    </row>
    <row r="165" spans="1:26" x14ac:dyDescent="0.25">
      <c r="A165" s="1"/>
      <c r="B165" s="12">
        <v>2022</v>
      </c>
      <c r="C165" s="3">
        <v>2682220000000</v>
      </c>
      <c r="D165" s="3">
        <v>4162541000000</v>
      </c>
      <c r="E165" s="3">
        <f t="shared" si="26"/>
        <v>-1480321000000</v>
      </c>
      <c r="F165" s="3">
        <v>63451383000000</v>
      </c>
      <c r="G165" s="15">
        <f t="shared" si="27"/>
        <v>-2.333000369747654E-2</v>
      </c>
      <c r="H165" s="16">
        <f t="shared" si="28"/>
        <v>1.5760097774385783E-14</v>
      </c>
      <c r="I165" s="3">
        <v>11642428000000</v>
      </c>
      <c r="J165" s="3">
        <v>13233657000000</v>
      </c>
      <c r="K165" s="3">
        <f t="shared" si="29"/>
        <v>-1591229000000</v>
      </c>
      <c r="L165" s="15">
        <f t="shared" si="30"/>
        <v>-2.5077924621438118E-2</v>
      </c>
      <c r="M165" s="3">
        <v>16487185000000</v>
      </c>
      <c r="N165" s="15">
        <f t="shared" si="31"/>
        <v>0.25983964762438672</v>
      </c>
      <c r="O165" s="16">
        <v>0.11600000000000001</v>
      </c>
      <c r="P165" s="16">
        <v>0.25700000000000001</v>
      </c>
      <c r="Q165" s="16">
        <v>-0.25900000000000001</v>
      </c>
      <c r="R165" s="3">
        <f>27502000000+3699546000000</f>
        <v>3727048000000</v>
      </c>
      <c r="S165" s="3">
        <f>21488000000+3557277000000</f>
        <v>3578765000000</v>
      </c>
      <c r="T165" s="3">
        <f t="shared" si="32"/>
        <v>148283000000</v>
      </c>
      <c r="U165" s="15">
        <f t="shared" si="33"/>
        <v>-2.7414879199717364E-2</v>
      </c>
      <c r="V165" s="16">
        <f t="shared" si="34"/>
        <v>1.8281713418287508E-15</v>
      </c>
      <c r="W165" s="16">
        <f t="shared" si="35"/>
        <v>-7.0456239543273628E-3</v>
      </c>
      <c r="X165" s="16">
        <f t="shared" si="36"/>
        <v>-6.7298468734716163E-2</v>
      </c>
      <c r="Y165" s="15">
        <f t="shared" si="37"/>
        <v>-7.4344092689041699E-2</v>
      </c>
      <c r="Z165" s="47">
        <f t="shared" si="38"/>
        <v>5.1014088991565162E-2</v>
      </c>
    </row>
    <row r="166" spans="1:26" x14ac:dyDescent="0.25">
      <c r="A166" s="1"/>
      <c r="B166" s="12">
        <v>2023</v>
      </c>
      <c r="C166" s="3">
        <v>1233473000000</v>
      </c>
      <c r="D166" s="3">
        <v>740044000000</v>
      </c>
      <c r="E166" s="3">
        <f t="shared" si="26"/>
        <v>493429000000</v>
      </c>
      <c r="F166" s="3">
        <v>69099804000000</v>
      </c>
      <c r="G166" s="15">
        <f t="shared" si="27"/>
        <v>7.1408162026045689E-3</v>
      </c>
      <c r="H166" s="16">
        <f t="shared" si="28"/>
        <v>1.4471821077813767E-14</v>
      </c>
      <c r="I166" s="3">
        <v>9725621000000</v>
      </c>
      <c r="J166" s="3">
        <v>11642428000000</v>
      </c>
      <c r="K166" s="3">
        <f t="shared" si="29"/>
        <v>-1916807000000</v>
      </c>
      <c r="L166" s="15">
        <f t="shared" si="30"/>
        <v>-2.7739687944700973E-2</v>
      </c>
      <c r="M166" s="3">
        <v>14293973000000</v>
      </c>
      <c r="N166" s="15">
        <f t="shared" si="31"/>
        <v>0.20685981974710088</v>
      </c>
      <c r="O166" s="16">
        <v>0.11600000000000001</v>
      </c>
      <c r="P166" s="16">
        <v>0.25700000000000001</v>
      </c>
      <c r="Q166" s="16">
        <v>-0.25900000000000001</v>
      </c>
      <c r="R166" s="3">
        <f>28011000000+3689181000000</f>
        <v>3717192000000</v>
      </c>
      <c r="S166" s="3">
        <f>27502000000+3699546000000</f>
        <v>3727048000000</v>
      </c>
      <c r="T166" s="3">
        <f t="shared" si="32"/>
        <v>-9856000000</v>
      </c>
      <c r="U166" s="15">
        <f t="shared" si="33"/>
        <v>-2.7597053676158039E-2</v>
      </c>
      <c r="V166" s="16">
        <f t="shared" si="34"/>
        <v>1.6787312450263972E-15</v>
      </c>
      <c r="W166" s="16">
        <f t="shared" si="35"/>
        <v>-7.0924427947726167E-3</v>
      </c>
      <c r="X166" s="16">
        <f t="shared" si="36"/>
        <v>-5.357669331449913E-2</v>
      </c>
      <c r="Y166" s="15">
        <f t="shared" si="37"/>
        <v>-6.0669136109270071E-2</v>
      </c>
      <c r="Z166" s="47">
        <f t="shared" si="38"/>
        <v>6.7809952311874644E-2</v>
      </c>
    </row>
    <row r="167" spans="1:26" x14ac:dyDescent="0.25">
      <c r="A167" s="1" t="s">
        <v>32</v>
      </c>
      <c r="B167" s="12">
        <v>2021</v>
      </c>
      <c r="C167" s="3">
        <v>188611979146</v>
      </c>
      <c r="D167" s="3">
        <v>245457033236</v>
      </c>
      <c r="E167" s="3">
        <f t="shared" si="26"/>
        <v>-56845054090</v>
      </c>
      <c r="F167" s="3">
        <v>2697100062756</v>
      </c>
      <c r="G167" s="15">
        <f t="shared" si="27"/>
        <v>-2.1076360819892441E-2</v>
      </c>
      <c r="H167" s="16">
        <f t="shared" si="28"/>
        <v>3.7076859468764456E-13</v>
      </c>
      <c r="I167" s="3">
        <v>2227367211794</v>
      </c>
      <c r="J167" s="3">
        <v>1797514877242</v>
      </c>
      <c r="K167" s="3">
        <f t="shared" si="29"/>
        <v>429852334552</v>
      </c>
      <c r="L167" s="15">
        <f t="shared" si="30"/>
        <v>0.15937574600504828</v>
      </c>
      <c r="M167" s="3">
        <v>919831502753</v>
      </c>
      <c r="N167" s="15">
        <f t="shared" si="31"/>
        <v>0.34104463362515403</v>
      </c>
      <c r="O167" s="16">
        <v>0.11600000000000001</v>
      </c>
      <c r="P167" s="16">
        <v>0.25700000000000001</v>
      </c>
      <c r="Q167" s="16">
        <v>-0.25900000000000001</v>
      </c>
      <c r="R167" s="3">
        <f>2460755801+372090189588</f>
        <v>374550945389</v>
      </c>
      <c r="S167" s="3">
        <f>4607557705+358678151161</f>
        <v>363285708866</v>
      </c>
      <c r="T167" s="3">
        <f t="shared" si="32"/>
        <v>11265236523</v>
      </c>
      <c r="U167" s="15">
        <f t="shared" si="33"/>
        <v>0.15519895009059162</v>
      </c>
      <c r="V167" s="16">
        <f t="shared" si="34"/>
        <v>4.3009156983766768E-14</v>
      </c>
      <c r="W167" s="16">
        <f t="shared" si="35"/>
        <v>3.9886130173282047E-2</v>
      </c>
      <c r="X167" s="16">
        <f t="shared" si="36"/>
        <v>-8.8330560108914893E-2</v>
      </c>
      <c r="Y167" s="15">
        <f t="shared" si="37"/>
        <v>-4.8444429935589839E-2</v>
      </c>
      <c r="Z167" s="47">
        <f t="shared" si="38"/>
        <v>2.7368069115697398E-2</v>
      </c>
    </row>
    <row r="168" spans="1:26" x14ac:dyDescent="0.25">
      <c r="A168" s="1"/>
      <c r="B168" s="12">
        <v>2022</v>
      </c>
      <c r="C168" s="3">
        <v>312502049594</v>
      </c>
      <c r="D168" s="3">
        <v>228972246510</v>
      </c>
      <c r="E168" s="3">
        <f t="shared" si="26"/>
        <v>83529803084</v>
      </c>
      <c r="F168" s="3">
        <v>2858166022131</v>
      </c>
      <c r="G168" s="15">
        <f t="shared" si="27"/>
        <v>2.9224965392920597E-2</v>
      </c>
      <c r="H168" s="16">
        <f t="shared" si="28"/>
        <v>3.4987470715729E-13</v>
      </c>
      <c r="I168" s="3">
        <v>2808698656787</v>
      </c>
      <c r="J168" s="3">
        <v>2227367211794</v>
      </c>
      <c r="K168" s="3">
        <f t="shared" si="29"/>
        <v>581331444993</v>
      </c>
      <c r="L168" s="15">
        <f t="shared" si="30"/>
        <v>0.20339316907825011</v>
      </c>
      <c r="M168" s="3">
        <v>1088481164598</v>
      </c>
      <c r="N168" s="15">
        <f t="shared" si="31"/>
        <v>0.3808320287099512</v>
      </c>
      <c r="O168" s="16">
        <v>0.11600000000000001</v>
      </c>
      <c r="P168" s="16">
        <v>0.25700000000000001</v>
      </c>
      <c r="Q168" s="16">
        <v>-0.25900000000000001</v>
      </c>
      <c r="R168" s="3">
        <f>5109208867+476574302246</f>
        <v>481683511113</v>
      </c>
      <c r="S168" s="3">
        <f>2460755801+372090189588</f>
        <v>374550945389</v>
      </c>
      <c r="T168" s="3">
        <f t="shared" si="32"/>
        <v>107132565724</v>
      </c>
      <c r="U168" s="15">
        <f t="shared" si="33"/>
        <v>0.16591019401855647</v>
      </c>
      <c r="V168" s="16">
        <f t="shared" si="34"/>
        <v>4.0585466030245643E-14</v>
      </c>
      <c r="W168" s="16">
        <f t="shared" si="35"/>
        <v>4.2638919862769013E-2</v>
      </c>
      <c r="X168" s="16">
        <f t="shared" si="36"/>
        <v>-9.8635495435877366E-2</v>
      </c>
      <c r="Y168" s="15">
        <f t="shared" si="37"/>
        <v>-5.5996575573067767E-2</v>
      </c>
      <c r="Z168" s="47">
        <f t="shared" si="38"/>
        <v>8.5221540965988357E-2</v>
      </c>
    </row>
    <row r="169" spans="1:26" x14ac:dyDescent="0.25">
      <c r="A169" s="1"/>
      <c r="B169" s="12">
        <v>2023</v>
      </c>
      <c r="C169" s="3">
        <v>440542975412</v>
      </c>
      <c r="D169" s="3">
        <v>579069868368</v>
      </c>
      <c r="E169" s="3">
        <f t="shared" si="26"/>
        <v>-138526892956</v>
      </c>
      <c r="F169" s="3">
        <v>3435475875401</v>
      </c>
      <c r="G169" s="15">
        <f t="shared" si="27"/>
        <v>-4.0322475831628624E-2</v>
      </c>
      <c r="H169" s="16">
        <f t="shared" si="28"/>
        <v>2.9108048965218732E-13</v>
      </c>
      <c r="I169" s="3">
        <v>2860388195952</v>
      </c>
      <c r="J169" s="3">
        <v>2808698656787</v>
      </c>
      <c r="K169" s="3">
        <f t="shared" si="29"/>
        <v>51689539165</v>
      </c>
      <c r="L169" s="15">
        <f t="shared" si="30"/>
        <v>1.5045816370044115E-2</v>
      </c>
      <c r="M169" s="3">
        <v>1210090352380</v>
      </c>
      <c r="N169" s="15">
        <f t="shared" si="31"/>
        <v>0.3522336922941583</v>
      </c>
      <c r="O169" s="16">
        <v>0.11600000000000001</v>
      </c>
      <c r="P169" s="16">
        <v>0.25700000000000001</v>
      </c>
      <c r="Q169" s="16">
        <v>-0.25900000000000001</v>
      </c>
      <c r="R169" s="3">
        <f>2906884820+514712223366</f>
        <v>517619108186</v>
      </c>
      <c r="S169" s="3">
        <f>5109208867+476574302246</f>
        <v>481683511113</v>
      </c>
      <c r="T169" s="3">
        <f t="shared" si="32"/>
        <v>35935597073</v>
      </c>
      <c r="U169" s="15">
        <f t="shared" si="33"/>
        <v>4.5856651780915641E-3</v>
      </c>
      <c r="V169" s="16">
        <f t="shared" si="34"/>
        <v>3.3765336799653732E-14</v>
      </c>
      <c r="W169" s="16">
        <f t="shared" si="35"/>
        <v>1.1785159507695321E-3</v>
      </c>
      <c r="X169" s="16">
        <f t="shared" si="36"/>
        <v>-9.1228526304186999E-2</v>
      </c>
      <c r="Y169" s="15">
        <f t="shared" si="37"/>
        <v>-9.0050010353383697E-2</v>
      </c>
      <c r="Z169" s="47">
        <f t="shared" si="38"/>
        <v>4.9727534521755073E-2</v>
      </c>
    </row>
    <row r="170" spans="1:26" x14ac:dyDescent="0.25">
      <c r="A170" s="1" t="s">
        <v>33</v>
      </c>
      <c r="B170" s="12">
        <v>2021</v>
      </c>
      <c r="C170" s="3">
        <v>25160193681</v>
      </c>
      <c r="D170" s="3">
        <v>35859253111</v>
      </c>
      <c r="E170" s="3">
        <f t="shared" si="26"/>
        <v>-10699059430</v>
      </c>
      <c r="F170" s="3">
        <v>341169168581</v>
      </c>
      <c r="G170" s="15">
        <f t="shared" si="27"/>
        <v>-3.1359983302418022E-2</v>
      </c>
      <c r="H170" s="16">
        <f t="shared" si="28"/>
        <v>2.9310972153762515E-12</v>
      </c>
      <c r="I170" s="3">
        <v>144616730115</v>
      </c>
      <c r="J170" s="3">
        <v>141832107191</v>
      </c>
      <c r="K170" s="3">
        <f t="shared" si="29"/>
        <v>2784622924</v>
      </c>
      <c r="L170" s="15">
        <f t="shared" si="30"/>
        <v>8.1620004984092748E-3</v>
      </c>
      <c r="M170" s="3">
        <v>220103997686</v>
      </c>
      <c r="N170" s="15">
        <f t="shared" si="31"/>
        <v>0.64514621471061551</v>
      </c>
      <c r="O170" s="16">
        <v>0.11600000000000001</v>
      </c>
      <c r="P170" s="16">
        <v>0.25700000000000001</v>
      </c>
      <c r="Q170" s="16">
        <v>-0.25900000000000001</v>
      </c>
      <c r="R170" s="3">
        <f>7074837866+86525521</f>
        <v>7161363387</v>
      </c>
      <c r="S170" s="3">
        <f>7355212663+1120807303</f>
        <v>8476019966</v>
      </c>
      <c r="T170" s="3">
        <f t="shared" si="32"/>
        <v>-1314656579</v>
      </c>
      <c r="U170" s="15">
        <f t="shared" si="33"/>
        <v>1.2015386736292244E-2</v>
      </c>
      <c r="V170" s="16">
        <f t="shared" si="34"/>
        <v>3.4000727698364517E-13</v>
      </c>
      <c r="W170" s="16">
        <f t="shared" si="35"/>
        <v>3.0879543912271067E-3</v>
      </c>
      <c r="X170" s="16">
        <f t="shared" si="36"/>
        <v>-0.16709286961004943</v>
      </c>
      <c r="Y170" s="15">
        <f t="shared" si="37"/>
        <v>-0.16400491521848232</v>
      </c>
      <c r="Z170" s="47">
        <f t="shared" si="38"/>
        <v>0.1326449319160643</v>
      </c>
    </row>
    <row r="171" spans="1:26" x14ac:dyDescent="0.25">
      <c r="A171" s="1"/>
      <c r="B171" s="12">
        <v>2022</v>
      </c>
      <c r="C171" s="3">
        <v>24044260651</v>
      </c>
      <c r="D171" s="3">
        <v>88112920926</v>
      </c>
      <c r="E171" s="3">
        <f t="shared" si="26"/>
        <v>-64068660275</v>
      </c>
      <c r="F171" s="3">
        <v>340216666768</v>
      </c>
      <c r="G171" s="15">
        <f t="shared" si="27"/>
        <v>-0.18831722996889391</v>
      </c>
      <c r="H171" s="16">
        <f t="shared" si="28"/>
        <v>2.9393033842222622E-12</v>
      </c>
      <c r="I171" s="3">
        <v>157646098806</v>
      </c>
      <c r="J171" s="3">
        <v>144616730115</v>
      </c>
      <c r="K171" s="3">
        <f t="shared" si="29"/>
        <v>13029368691</v>
      </c>
      <c r="L171" s="15">
        <f t="shared" si="30"/>
        <v>3.8297267487735882E-2</v>
      </c>
      <c r="M171" s="3">
        <v>222651361278</v>
      </c>
      <c r="N171" s="15">
        <f t="shared" si="31"/>
        <v>0.65443989970611893</v>
      </c>
      <c r="O171" s="16">
        <v>0.11600000000000001</v>
      </c>
      <c r="P171" s="16">
        <v>0.25700000000000001</v>
      </c>
      <c r="Q171" s="16">
        <v>-0.25900000000000001</v>
      </c>
      <c r="R171" s="3">
        <f>7810765092+765976514</f>
        <v>8576741606</v>
      </c>
      <c r="S171" s="3">
        <f>7074837866+86525521</f>
        <v>7161363387</v>
      </c>
      <c r="T171" s="3">
        <f t="shared" si="32"/>
        <v>1415378219</v>
      </c>
      <c r="U171" s="15">
        <f t="shared" si="33"/>
        <v>3.4137041498674706E-2</v>
      </c>
      <c r="V171" s="16">
        <f t="shared" si="34"/>
        <v>3.4095919256978243E-13</v>
      </c>
      <c r="W171" s="16">
        <f t="shared" si="35"/>
        <v>8.7732196651594003E-3</v>
      </c>
      <c r="X171" s="16">
        <f t="shared" si="36"/>
        <v>-0.1694999340238848</v>
      </c>
      <c r="Y171" s="15">
        <f t="shared" si="37"/>
        <v>-0.16072671435838445</v>
      </c>
      <c r="Z171" s="47">
        <f t="shared" si="38"/>
        <v>-2.7590515610509458E-2</v>
      </c>
    </row>
    <row r="172" spans="1:26" x14ac:dyDescent="0.25">
      <c r="A172" s="1"/>
      <c r="B172" s="12">
        <v>2023</v>
      </c>
      <c r="C172" s="3">
        <v>28145515198</v>
      </c>
      <c r="D172" s="3">
        <v>84175310435</v>
      </c>
      <c r="E172" s="3">
        <f t="shared" si="26"/>
        <v>-56029795237</v>
      </c>
      <c r="F172" s="3">
        <v>363417648503</v>
      </c>
      <c r="G172" s="15">
        <f t="shared" si="27"/>
        <v>-0.15417466781759079</v>
      </c>
      <c r="H172" s="16">
        <f t="shared" si="28"/>
        <v>2.7516550286405394E-12</v>
      </c>
      <c r="I172" s="3">
        <v>170310659015</v>
      </c>
      <c r="J172" s="3">
        <v>157646098806</v>
      </c>
      <c r="K172" s="3">
        <f t="shared" si="29"/>
        <v>12664560209</v>
      </c>
      <c r="L172" s="15">
        <f t="shared" si="30"/>
        <v>3.4848500784615731E-2</v>
      </c>
      <c r="M172" s="3">
        <v>200667068989</v>
      </c>
      <c r="N172" s="15">
        <f t="shared" si="31"/>
        <v>0.55216654946613997</v>
      </c>
      <c r="O172" s="16">
        <v>0.11600000000000001</v>
      </c>
      <c r="P172" s="16">
        <v>0.25700000000000001</v>
      </c>
      <c r="Q172" s="16">
        <v>-0.25900000000000001</v>
      </c>
      <c r="R172" s="3">
        <f>8606814649+2337328296</f>
        <v>10944142945</v>
      </c>
      <c r="S172" s="3">
        <f>7810765092+765976514</f>
        <v>8576741606</v>
      </c>
      <c r="T172" s="3">
        <f t="shared" si="32"/>
        <v>2367401339</v>
      </c>
      <c r="U172" s="15">
        <f t="shared" si="33"/>
        <v>2.8334228985346037E-2</v>
      </c>
      <c r="V172" s="16">
        <f t="shared" si="34"/>
        <v>3.1919198332230257E-13</v>
      </c>
      <c r="W172" s="16">
        <f t="shared" si="35"/>
        <v>7.2818968492339318E-3</v>
      </c>
      <c r="X172" s="16">
        <f t="shared" si="36"/>
        <v>-0.14301113631173026</v>
      </c>
      <c r="Y172" s="15">
        <f t="shared" si="37"/>
        <v>-0.13572923946217713</v>
      </c>
      <c r="Z172" s="47">
        <f t="shared" si="38"/>
        <v>-1.8445428355413657E-2</v>
      </c>
    </row>
    <row r="173" spans="1:26" x14ac:dyDescent="0.25">
      <c r="A173" s="1" t="s">
        <v>34</v>
      </c>
      <c r="B173" s="12">
        <v>2021</v>
      </c>
      <c r="C173" s="3">
        <v>156736391742</v>
      </c>
      <c r="D173" s="3">
        <v>113880999531</v>
      </c>
      <c r="E173" s="3">
        <f t="shared" si="26"/>
        <v>42855392211</v>
      </c>
      <c r="F173" s="3">
        <v>3107410113178</v>
      </c>
      <c r="G173" s="15">
        <f t="shared" si="27"/>
        <v>1.3791353780197064E-2</v>
      </c>
      <c r="H173" s="16">
        <f t="shared" si="28"/>
        <v>3.2181140035528924E-13</v>
      </c>
      <c r="I173" s="3">
        <v>1831956807551</v>
      </c>
      <c r="J173" s="3">
        <v>1622319756389</v>
      </c>
      <c r="K173" s="3">
        <f t="shared" si="29"/>
        <v>209637051162</v>
      </c>
      <c r="L173" s="15">
        <f t="shared" si="30"/>
        <v>6.7463593000796629E-2</v>
      </c>
      <c r="M173" s="3">
        <v>594728901512</v>
      </c>
      <c r="N173" s="15">
        <f t="shared" si="31"/>
        <v>0.19139054062733962</v>
      </c>
      <c r="O173" s="16">
        <v>0.11600000000000001</v>
      </c>
      <c r="P173" s="16">
        <v>0.25700000000000001</v>
      </c>
      <c r="Q173" s="16">
        <v>-0.25900000000000001</v>
      </c>
      <c r="R173" s="3">
        <f>456363183437+7850355563+666569804+5247646037</f>
        <v>470127754841</v>
      </c>
      <c r="S173" s="3">
        <f>392006740973+7066228799+4193385955+1958010086</f>
        <v>405224365813</v>
      </c>
      <c r="T173" s="3">
        <f t="shared" si="32"/>
        <v>64903389028</v>
      </c>
      <c r="U173" s="15">
        <f t="shared" si="33"/>
        <v>4.6576942489891839E-2</v>
      </c>
      <c r="V173" s="16">
        <f t="shared" si="34"/>
        <v>3.7330122441213552E-14</v>
      </c>
      <c r="W173" s="16">
        <f t="shared" si="35"/>
        <v>1.1970274219902204E-2</v>
      </c>
      <c r="X173" s="16">
        <f t="shared" si="36"/>
        <v>-4.9570150022480962E-2</v>
      </c>
      <c r="Y173" s="15">
        <f t="shared" si="37"/>
        <v>-3.7599875802541427E-2</v>
      </c>
      <c r="Z173" s="47">
        <f t="shared" si="38"/>
        <v>5.1391229582738493E-2</v>
      </c>
    </row>
    <row r="174" spans="1:26" x14ac:dyDescent="0.25">
      <c r="A174" s="1"/>
      <c r="B174" s="12">
        <v>2022</v>
      </c>
      <c r="C174" s="3">
        <v>313410762339</v>
      </c>
      <c r="D174" s="3">
        <v>326550904577</v>
      </c>
      <c r="E174" s="3">
        <f t="shared" si="26"/>
        <v>-13140142238</v>
      </c>
      <c r="F174" s="3">
        <v>3236330922409</v>
      </c>
      <c r="G174" s="15">
        <f t="shared" si="27"/>
        <v>-4.0601973509615591E-3</v>
      </c>
      <c r="H174" s="16">
        <f t="shared" si="28"/>
        <v>3.089918874104625E-13</v>
      </c>
      <c r="I174" s="3">
        <v>2086058728390</v>
      </c>
      <c r="J174" s="3">
        <v>1831956807551</v>
      </c>
      <c r="K174" s="3">
        <f t="shared" si="29"/>
        <v>254101920839</v>
      </c>
      <c r="L174" s="15">
        <f t="shared" si="30"/>
        <v>7.851543211466655E-2</v>
      </c>
      <c r="M174" s="3">
        <v>720066028096</v>
      </c>
      <c r="N174" s="15">
        <f t="shared" si="31"/>
        <v>0.22249456108153817</v>
      </c>
      <c r="O174" s="16">
        <v>0.11600000000000001</v>
      </c>
      <c r="P174" s="16">
        <v>0.25700000000000001</v>
      </c>
      <c r="Q174" s="16">
        <v>-0.25900000000000001</v>
      </c>
      <c r="R174" s="3">
        <f>467206368099+7059838013+95422143+1506177674</f>
        <v>475867805929</v>
      </c>
      <c r="S174" s="3">
        <f>456363183437+7850355563+666569804+5247646037</f>
        <v>470127754841</v>
      </c>
      <c r="T174" s="3">
        <f t="shared" si="32"/>
        <v>5740051088</v>
      </c>
      <c r="U174" s="15">
        <f t="shared" si="33"/>
        <v>7.674180289515295E-2</v>
      </c>
      <c r="V174" s="16">
        <f t="shared" si="34"/>
        <v>3.5843058939613651E-14</v>
      </c>
      <c r="W174" s="16">
        <f t="shared" si="35"/>
        <v>1.9722643344054307E-2</v>
      </c>
      <c r="X174" s="16">
        <f t="shared" si="36"/>
        <v>-5.7626091320118387E-2</v>
      </c>
      <c r="Y174" s="15">
        <f t="shared" si="37"/>
        <v>-3.7903447976028237E-2</v>
      </c>
      <c r="Z174" s="47">
        <f t="shared" si="38"/>
        <v>3.3843250625066677E-2</v>
      </c>
    </row>
    <row r="175" spans="1:26" x14ac:dyDescent="0.25">
      <c r="A175" s="1"/>
      <c r="B175" s="12">
        <v>2023</v>
      </c>
      <c r="C175" s="3">
        <v>242417754641</v>
      </c>
      <c r="D175" s="3">
        <v>301068008538</v>
      </c>
      <c r="E175" s="3">
        <f t="shared" si="26"/>
        <v>-58650253897</v>
      </c>
      <c r="F175" s="3">
        <v>3304972191991</v>
      </c>
      <c r="G175" s="15">
        <f t="shared" si="27"/>
        <v>-1.7746065772997498E-2</v>
      </c>
      <c r="H175" s="16">
        <f t="shared" si="28"/>
        <v>3.0257440665410692E-13</v>
      </c>
      <c r="I175" s="3">
        <v>2125542963624</v>
      </c>
      <c r="J175" s="3">
        <v>2086058728390</v>
      </c>
      <c r="K175" s="3">
        <f t="shared" si="29"/>
        <v>39484235234</v>
      </c>
      <c r="L175" s="15">
        <f t="shared" si="30"/>
        <v>1.1946919048118733E-2</v>
      </c>
      <c r="M175" s="3">
        <v>701045403585</v>
      </c>
      <c r="N175" s="15">
        <f t="shared" si="31"/>
        <v>0.2121183970273203</v>
      </c>
      <c r="O175" s="16">
        <v>0.11600000000000001</v>
      </c>
      <c r="P175" s="16">
        <v>0.25700000000000001</v>
      </c>
      <c r="Q175" s="16">
        <v>-0.25900000000000001</v>
      </c>
      <c r="R175" s="3">
        <f>490320131058+3132066754+3563593901+3527467840</f>
        <v>500543259553</v>
      </c>
      <c r="S175" s="3">
        <f>467206368099+7059838013+95422143+1506177674</f>
        <v>475867805929</v>
      </c>
      <c r="T175" s="3">
        <f t="shared" si="32"/>
        <v>24675453624</v>
      </c>
      <c r="U175" s="15">
        <f t="shared" si="33"/>
        <v>4.480758308916E-3</v>
      </c>
      <c r="V175" s="16">
        <f t="shared" si="34"/>
        <v>3.5098631171876405E-14</v>
      </c>
      <c r="W175" s="16">
        <f t="shared" si="35"/>
        <v>1.151554885391412E-3</v>
      </c>
      <c r="X175" s="16">
        <f t="shared" si="36"/>
        <v>-5.4938664830075958E-2</v>
      </c>
      <c r="Y175" s="15">
        <f t="shared" si="37"/>
        <v>-5.3787109944649449E-2</v>
      </c>
      <c r="Z175" s="47">
        <f t="shared" si="38"/>
        <v>3.6041044171651951E-2</v>
      </c>
    </row>
    <row r="176" spans="1:26" x14ac:dyDescent="0.25">
      <c r="A176" s="1" t="s">
        <v>35</v>
      </c>
      <c r="B176" s="12">
        <v>2021</v>
      </c>
      <c r="C176" s="3">
        <v>10608267000000</v>
      </c>
      <c r="D176" s="3">
        <v>23284854000000</v>
      </c>
      <c r="E176" s="3">
        <f t="shared" si="26"/>
        <v>-12676587000000</v>
      </c>
      <c r="F176" s="3">
        <v>99800963000000</v>
      </c>
      <c r="G176" s="15">
        <f t="shared" si="27"/>
        <v>-0.12701868417842821</v>
      </c>
      <c r="H176" s="16">
        <f t="shared" si="28"/>
        <v>1.0019943394734578E-14</v>
      </c>
      <c r="I176" s="3">
        <v>79460503000000</v>
      </c>
      <c r="J176" s="3">
        <v>60346784000000</v>
      </c>
      <c r="K176" s="3">
        <f t="shared" si="29"/>
        <v>19113719000000</v>
      </c>
      <c r="L176" s="15">
        <f t="shared" si="30"/>
        <v>0.19151838244286279</v>
      </c>
      <c r="M176" s="3">
        <v>20456694000000</v>
      </c>
      <c r="N176" s="15">
        <f t="shared" si="31"/>
        <v>0.20497491592340647</v>
      </c>
      <c r="O176" s="16">
        <v>0.11600000000000001</v>
      </c>
      <c r="P176" s="16">
        <v>0.25700000000000001</v>
      </c>
      <c r="Q176" s="16">
        <v>-0.25900000000000001</v>
      </c>
      <c r="R176" s="3">
        <f>11639657000000+511896000000+904352000000+963549000000</f>
        <v>14019454000000</v>
      </c>
      <c r="S176" s="3">
        <f>9691946000000+332271000000+846931000000+1134861000000</f>
        <v>12006009000000</v>
      </c>
      <c r="T176" s="3">
        <f t="shared" si="32"/>
        <v>2013445000000</v>
      </c>
      <c r="U176" s="15">
        <f t="shared" si="33"/>
        <v>0.17134377751445143</v>
      </c>
      <c r="V176" s="16">
        <f t="shared" si="34"/>
        <v>1.162313433789211E-15</v>
      </c>
      <c r="W176" s="16">
        <f t="shared" si="35"/>
        <v>4.4035350821214021E-2</v>
      </c>
      <c r="X176" s="16">
        <f t="shared" si="36"/>
        <v>-5.3088503224162274E-2</v>
      </c>
      <c r="Y176" s="15">
        <f t="shared" si="37"/>
        <v>-9.0531524029470872E-3</v>
      </c>
      <c r="Z176" s="47">
        <f t="shared" si="38"/>
        <v>-0.11796553177548112</v>
      </c>
    </row>
    <row r="177" spans="1:26" x14ac:dyDescent="0.25">
      <c r="A177" s="1"/>
      <c r="B177" s="12">
        <v>2022</v>
      </c>
      <c r="C177" s="3">
        <v>22993673000000</v>
      </c>
      <c r="D177" s="3">
        <v>32891585000000</v>
      </c>
      <c r="E177" s="3">
        <f t="shared" si="26"/>
        <v>-9897912000000</v>
      </c>
      <c r="F177" s="3">
        <v>112561356000000</v>
      </c>
      <c r="G177" s="15">
        <f t="shared" si="27"/>
        <v>-8.7933482251226616E-2</v>
      </c>
      <c r="H177" s="16">
        <f t="shared" si="28"/>
        <v>8.8840436499361291E-15</v>
      </c>
      <c r="I177" s="3">
        <v>123607460000000</v>
      </c>
      <c r="J177" s="3">
        <v>79460503000000</v>
      </c>
      <c r="K177" s="3">
        <f t="shared" si="29"/>
        <v>44146957000000</v>
      </c>
      <c r="L177" s="15">
        <f t="shared" si="30"/>
        <v>0.39220349299985335</v>
      </c>
      <c r="M177" s="3">
        <v>23677857000000</v>
      </c>
      <c r="N177" s="15">
        <f t="shared" si="31"/>
        <v>0.21035511512494573</v>
      </c>
      <c r="O177" s="16">
        <v>0.11600000000000001</v>
      </c>
      <c r="P177" s="16">
        <v>0.25700000000000001</v>
      </c>
      <c r="Q177" s="16">
        <v>-0.25900000000000001</v>
      </c>
      <c r="R177" s="3">
        <f>17118329000000+515058000000+1042030000000+973304000000</f>
        <v>19648721000000</v>
      </c>
      <c r="S177" s="3">
        <f>11639657000000+511896000000+904352000000+963549000000</f>
        <v>14019454000000</v>
      </c>
      <c r="T177" s="3">
        <f t="shared" si="32"/>
        <v>5629267000000</v>
      </c>
      <c r="U177" s="15">
        <f t="shared" si="33"/>
        <v>0.34219283925470834</v>
      </c>
      <c r="V177" s="16">
        <f t="shared" si="34"/>
        <v>1.0305490633925911E-15</v>
      </c>
      <c r="W177" s="16">
        <f t="shared" si="35"/>
        <v>8.7943559688460043E-2</v>
      </c>
      <c r="X177" s="16">
        <f t="shared" si="36"/>
        <v>-5.4481974817360945E-2</v>
      </c>
      <c r="Y177" s="15">
        <f t="shared" si="37"/>
        <v>3.3461584871100125E-2</v>
      </c>
      <c r="Z177" s="47">
        <f t="shared" si="38"/>
        <v>-0.12139506712232674</v>
      </c>
    </row>
    <row r="178" spans="1:26" x14ac:dyDescent="0.25">
      <c r="A178" s="1"/>
      <c r="B178" s="12">
        <v>2023</v>
      </c>
      <c r="C178" s="3">
        <v>22130096000000</v>
      </c>
      <c r="D178" s="3">
        <v>26346848000000</v>
      </c>
      <c r="E178" s="3">
        <f t="shared" si="26"/>
        <v>-4216752000000</v>
      </c>
      <c r="F178" s="3">
        <v>140478220000000</v>
      </c>
      <c r="G178" s="15">
        <f t="shared" si="27"/>
        <v>-3.0017122939057742E-2</v>
      </c>
      <c r="H178" s="16">
        <f t="shared" si="28"/>
        <v>7.1185412229739248E-15</v>
      </c>
      <c r="I178" s="3">
        <v>128583264000000</v>
      </c>
      <c r="J178" s="3">
        <v>123607460000000</v>
      </c>
      <c r="K178" s="3">
        <f t="shared" si="29"/>
        <v>4975804000000</v>
      </c>
      <c r="L178" s="15">
        <f t="shared" si="30"/>
        <v>3.5420465891438546E-2</v>
      </c>
      <c r="M178" s="3">
        <v>36001559000000</v>
      </c>
      <c r="N178" s="15">
        <f t="shared" si="31"/>
        <v>0.25627858183282787</v>
      </c>
      <c r="O178" s="16">
        <v>0.11600000000000001</v>
      </c>
      <c r="P178" s="16">
        <v>0.25700000000000001</v>
      </c>
      <c r="Q178" s="16">
        <v>-0.25900000000000001</v>
      </c>
      <c r="R178" s="3">
        <f>18953089000000+1321493000000+833144000000+1207575000000</f>
        <v>22315301000000</v>
      </c>
      <c r="S178" s="3">
        <f>17118329000000+515058000000+1042030000000+973304000000</f>
        <v>19648721000000</v>
      </c>
      <c r="T178" s="3">
        <f t="shared" si="32"/>
        <v>2666580000000</v>
      </c>
      <c r="U178" s="15">
        <f t="shared" si="33"/>
        <v>1.6438306237080737E-2</v>
      </c>
      <c r="V178" s="16">
        <f t="shared" si="34"/>
        <v>8.2575078186497537E-16</v>
      </c>
      <c r="W178" s="16">
        <f t="shared" si="35"/>
        <v>4.2246447029297496E-3</v>
      </c>
      <c r="X178" s="16">
        <f t="shared" si="36"/>
        <v>-6.6376152694702414E-2</v>
      </c>
      <c r="Y178" s="15">
        <f t="shared" si="37"/>
        <v>-6.215150799177184E-2</v>
      </c>
      <c r="Z178" s="47">
        <f t="shared" si="38"/>
        <v>3.2134385052714098E-2</v>
      </c>
    </row>
    <row r="179" spans="1:26" x14ac:dyDescent="0.25">
      <c r="A179" s="1" t="s">
        <v>36</v>
      </c>
      <c r="B179" s="12">
        <v>2021</v>
      </c>
      <c r="C179" s="3">
        <v>223780364408</v>
      </c>
      <c r="D179" s="3">
        <v>404626899810</v>
      </c>
      <c r="E179" s="3">
        <f t="shared" si="26"/>
        <v>-180846535402</v>
      </c>
      <c r="F179" s="3">
        <v>3035584618693</v>
      </c>
      <c r="G179" s="15">
        <f t="shared" si="27"/>
        <v>-5.9575521067129801E-2</v>
      </c>
      <c r="H179" s="16">
        <f t="shared" si="28"/>
        <v>3.2942583574908201E-13</v>
      </c>
      <c r="I179" s="3">
        <v>2238536055114</v>
      </c>
      <c r="J179" s="3">
        <v>1910989899637</v>
      </c>
      <c r="K179" s="3">
        <f t="shared" si="29"/>
        <v>327546155477</v>
      </c>
      <c r="L179" s="15">
        <f t="shared" si="30"/>
        <v>0.10790216601440948</v>
      </c>
      <c r="M179" s="3">
        <v>1030101381857</v>
      </c>
      <c r="N179" s="15">
        <f t="shared" si="31"/>
        <v>0.33934200862452651</v>
      </c>
      <c r="O179" s="16">
        <v>0.11600000000000001</v>
      </c>
      <c r="P179" s="16">
        <v>0.25700000000000001</v>
      </c>
      <c r="Q179" s="16">
        <v>-0.25900000000000001</v>
      </c>
      <c r="R179" s="3">
        <f>469397841980+88800375+852871814+173760398</f>
        <v>470513274567</v>
      </c>
      <c r="S179" s="3">
        <f>450193757199+6116600+5327978198+151308419</f>
        <v>455679160416</v>
      </c>
      <c r="T179" s="3">
        <f t="shared" si="32"/>
        <v>14834114151</v>
      </c>
      <c r="U179" s="15">
        <f t="shared" si="33"/>
        <v>0.10301542556261903</v>
      </c>
      <c r="V179" s="16">
        <f t="shared" si="34"/>
        <v>3.8213396946893514E-14</v>
      </c>
      <c r="W179" s="16">
        <f t="shared" si="35"/>
        <v>2.6474964369593092E-2</v>
      </c>
      <c r="X179" s="16">
        <f t="shared" si="36"/>
        <v>-8.7889580233752373E-2</v>
      </c>
      <c r="Y179" s="15">
        <f t="shared" si="37"/>
        <v>-6.1414615864121072E-2</v>
      </c>
      <c r="Z179" s="47">
        <f t="shared" si="38"/>
        <v>1.839094796991271E-3</v>
      </c>
    </row>
    <row r="180" spans="1:26" x14ac:dyDescent="0.25">
      <c r="A180" s="1"/>
      <c r="B180" s="12">
        <v>2022</v>
      </c>
      <c r="C180" s="3">
        <v>225044549724</v>
      </c>
      <c r="D180" s="3">
        <v>184995491620</v>
      </c>
      <c r="E180" s="3">
        <f t="shared" si="26"/>
        <v>40049058104</v>
      </c>
      <c r="F180" s="3">
        <v>3143458650849</v>
      </c>
      <c r="G180" s="15">
        <f t="shared" si="27"/>
        <v>1.2740443744403434E-2</v>
      </c>
      <c r="H180" s="16">
        <f t="shared" si="28"/>
        <v>3.1812093336424683E-13</v>
      </c>
      <c r="I180" s="3">
        <v>2505644878372</v>
      </c>
      <c r="J180" s="3">
        <v>2238536055114</v>
      </c>
      <c r="K180" s="3">
        <f t="shared" si="29"/>
        <v>267108823258</v>
      </c>
      <c r="L180" s="15">
        <f t="shared" si="30"/>
        <v>8.4972908164660604E-2</v>
      </c>
      <c r="M180" s="3">
        <v>971191938365</v>
      </c>
      <c r="N180" s="15">
        <f t="shared" si="31"/>
        <v>0.30895648590850588</v>
      </c>
      <c r="O180" s="16">
        <v>0.11600000000000001</v>
      </c>
      <c r="P180" s="16">
        <v>0.25700000000000001</v>
      </c>
      <c r="Q180" s="16">
        <v>-0.25900000000000001</v>
      </c>
      <c r="R180" s="3">
        <f>480373876645+59498853+2583100389+181094876</f>
        <v>483197570763</v>
      </c>
      <c r="S180" s="3">
        <f>469397841980+88800375+852871814+173760398</f>
        <v>470513274567</v>
      </c>
      <c r="T180" s="3">
        <f t="shared" si="32"/>
        <v>12684296196</v>
      </c>
      <c r="U180" s="15">
        <f t="shared" si="33"/>
        <v>8.0937768019720524E-2</v>
      </c>
      <c r="V180" s="16">
        <f t="shared" si="34"/>
        <v>3.6902028270252633E-14</v>
      </c>
      <c r="W180" s="16">
        <f t="shared" si="35"/>
        <v>2.0801006381068174E-2</v>
      </c>
      <c r="X180" s="16">
        <f t="shared" si="36"/>
        <v>-8.001972985030302E-2</v>
      </c>
      <c r="Y180" s="15">
        <f t="shared" si="37"/>
        <v>-5.9218723469197945E-2</v>
      </c>
      <c r="Z180" s="47">
        <f t="shared" si="38"/>
        <v>7.1959167213601377E-2</v>
      </c>
    </row>
    <row r="181" spans="1:26" x14ac:dyDescent="0.25">
      <c r="A181" s="1"/>
      <c r="B181" s="12">
        <v>2023</v>
      </c>
      <c r="C181" s="3">
        <v>274951561683</v>
      </c>
      <c r="D181" s="3">
        <v>243478306312</v>
      </c>
      <c r="E181" s="3">
        <f t="shared" si="26"/>
        <v>31473255371</v>
      </c>
      <c r="F181" s="3">
        <v>3116150805162</v>
      </c>
      <c r="G181" s="15">
        <f t="shared" si="27"/>
        <v>1.0100042436605949E-2</v>
      </c>
      <c r="H181" s="16">
        <f t="shared" si="28"/>
        <v>3.2090873084302246E-13</v>
      </c>
      <c r="I181" s="3">
        <v>2605488939158</v>
      </c>
      <c r="J181" s="3">
        <v>2505644878372</v>
      </c>
      <c r="K181" s="3">
        <f t="shared" si="29"/>
        <v>99844060786</v>
      </c>
      <c r="L181" s="15">
        <f t="shared" si="30"/>
        <v>3.204083082904885E-2</v>
      </c>
      <c r="M181" s="3">
        <v>981333319882</v>
      </c>
      <c r="N181" s="15">
        <f t="shared" si="31"/>
        <v>0.31491843021730243</v>
      </c>
      <c r="O181" s="16">
        <v>0.11600000000000001</v>
      </c>
      <c r="P181" s="16">
        <v>0.25700000000000001</v>
      </c>
      <c r="Q181" s="16">
        <v>-0.25900000000000001</v>
      </c>
      <c r="R181" s="3">
        <f>526305284331+511667269+3138250827+181359058</f>
        <v>530136561485</v>
      </c>
      <c r="S181" s="3">
        <f>480373876645+59498853+2583100389+181094876</f>
        <v>483197570763</v>
      </c>
      <c r="T181" s="3">
        <f t="shared" si="32"/>
        <v>46938990722</v>
      </c>
      <c r="U181" s="15">
        <f t="shared" si="33"/>
        <v>1.6977698889399422E-2</v>
      </c>
      <c r="V181" s="16">
        <f t="shared" si="34"/>
        <v>3.7225412777790608E-14</v>
      </c>
      <c r="W181" s="16">
        <f t="shared" si="35"/>
        <v>4.3632686145756517E-3</v>
      </c>
      <c r="X181" s="16">
        <f t="shared" si="36"/>
        <v>-8.1563873426281325E-2</v>
      </c>
      <c r="Y181" s="15">
        <f t="shared" si="37"/>
        <v>-7.7200604811668447E-2</v>
      </c>
      <c r="Z181" s="47">
        <f t="shared" si="38"/>
        <v>8.7300647248274396E-2</v>
      </c>
    </row>
    <row r="182" spans="1:26" x14ac:dyDescent="0.25">
      <c r="A182" s="1" t="s">
        <v>37</v>
      </c>
      <c r="B182" s="12">
        <v>2021</v>
      </c>
      <c r="C182" s="3">
        <v>3442039458</v>
      </c>
      <c r="D182" s="3">
        <v>1368874924</v>
      </c>
      <c r="E182" s="3">
        <f t="shared" si="26"/>
        <v>2073164534</v>
      </c>
      <c r="F182" s="3">
        <v>451600083080</v>
      </c>
      <c r="G182" s="15">
        <f t="shared" si="27"/>
        <v>4.590708929592343E-3</v>
      </c>
      <c r="H182" s="16">
        <f t="shared" si="28"/>
        <v>2.214348574029939E-12</v>
      </c>
      <c r="I182" s="3">
        <v>72426729694</v>
      </c>
      <c r="J182" s="3">
        <v>82949660203</v>
      </c>
      <c r="K182" s="3">
        <f t="shared" si="29"/>
        <v>-10522930509</v>
      </c>
      <c r="L182" s="15">
        <f t="shared" si="30"/>
        <v>-2.3301436167220291E-2</v>
      </c>
      <c r="M182" s="3">
        <v>85885157663</v>
      </c>
      <c r="N182" s="15">
        <f t="shared" si="31"/>
        <v>0.19017967640140054</v>
      </c>
      <c r="O182" s="16">
        <v>0.11600000000000001</v>
      </c>
      <c r="P182" s="16">
        <v>0.25700000000000001</v>
      </c>
      <c r="Q182" s="16">
        <v>-0.25900000000000001</v>
      </c>
      <c r="R182" s="3">
        <v>57120964606</v>
      </c>
      <c r="S182" s="3">
        <v>54152816187</v>
      </c>
      <c r="T182" s="3">
        <f t="shared" si="32"/>
        <v>2968148419</v>
      </c>
      <c r="U182" s="15">
        <f t="shared" si="33"/>
        <v>-2.9873951386342159E-2</v>
      </c>
      <c r="V182" s="16">
        <f t="shared" si="34"/>
        <v>2.5686443458747295E-13</v>
      </c>
      <c r="W182" s="16">
        <f t="shared" si="35"/>
        <v>-7.677605506289935E-3</v>
      </c>
      <c r="X182" s="16">
        <f t="shared" si="36"/>
        <v>-4.9256536187962739E-2</v>
      </c>
      <c r="Y182" s="15">
        <f t="shared" si="37"/>
        <v>-5.6934141693995813E-2</v>
      </c>
      <c r="Z182" s="47">
        <f t="shared" si="38"/>
        <v>6.1524850623588159E-2</v>
      </c>
    </row>
    <row r="183" spans="1:26" x14ac:dyDescent="0.25">
      <c r="A183" s="1"/>
      <c r="B183" s="12">
        <v>2022</v>
      </c>
      <c r="C183" s="14">
        <v>6110063988</v>
      </c>
      <c r="D183" s="14">
        <v>-9982045394</v>
      </c>
      <c r="E183" s="3">
        <f t="shared" si="26"/>
        <v>16092109382</v>
      </c>
      <c r="F183" s="3">
        <v>463343986900</v>
      </c>
      <c r="G183" s="15">
        <f t="shared" si="27"/>
        <v>3.4730372761852715E-2</v>
      </c>
      <c r="H183" s="16">
        <f t="shared" si="28"/>
        <v>2.1582237565884768E-12</v>
      </c>
      <c r="I183" s="14">
        <v>213082547296</v>
      </c>
      <c r="J183" s="3">
        <v>72426729694</v>
      </c>
      <c r="K183" s="3">
        <f t="shared" si="29"/>
        <v>140655817602</v>
      </c>
      <c r="L183" s="15">
        <f t="shared" si="30"/>
        <v>0.30356672705101206</v>
      </c>
      <c r="M183" s="14">
        <v>72091230280</v>
      </c>
      <c r="N183" s="15">
        <f t="shared" si="31"/>
        <v>0.15558900583198654</v>
      </c>
      <c r="O183" s="16">
        <v>0.11600000000000001</v>
      </c>
      <c r="P183" s="16">
        <v>0.25700000000000001</v>
      </c>
      <c r="Q183" s="16">
        <v>-0.25900000000000001</v>
      </c>
      <c r="R183" s="14">
        <v>82513535353</v>
      </c>
      <c r="S183" s="3">
        <v>57120964606</v>
      </c>
      <c r="T183" s="3">
        <f t="shared" si="32"/>
        <v>25392570747</v>
      </c>
      <c r="U183" s="15">
        <f t="shared" si="33"/>
        <v>0.24876387762398303</v>
      </c>
      <c r="V183" s="16">
        <f t="shared" si="34"/>
        <v>2.5035395576426333E-13</v>
      </c>
      <c r="W183" s="16">
        <f t="shared" si="35"/>
        <v>6.3932316549363641E-2</v>
      </c>
      <c r="X183" s="16">
        <f t="shared" si="36"/>
        <v>-4.0297552510484516E-2</v>
      </c>
      <c r="Y183" s="15">
        <f t="shared" si="37"/>
        <v>2.363476403912948E-2</v>
      </c>
      <c r="Z183" s="47">
        <f t="shared" si="38"/>
        <v>1.1095608722723235E-2</v>
      </c>
    </row>
    <row r="184" spans="1:26" x14ac:dyDescent="0.25">
      <c r="A184" s="1"/>
      <c r="B184" s="12">
        <v>2023</v>
      </c>
      <c r="C184" s="3">
        <v>10159997069</v>
      </c>
      <c r="D184" s="3">
        <v>732934590</v>
      </c>
      <c r="E184" s="3">
        <f t="shared" si="26"/>
        <v>9427062479</v>
      </c>
      <c r="F184" s="3">
        <v>480584345100</v>
      </c>
      <c r="G184" s="15">
        <f t="shared" si="27"/>
        <v>1.9615833464234914E-2</v>
      </c>
      <c r="H184" s="16">
        <f t="shared" si="28"/>
        <v>2.0808001970849052E-12</v>
      </c>
      <c r="I184" s="3">
        <v>183089195342</v>
      </c>
      <c r="J184" s="3">
        <v>213082547296</v>
      </c>
      <c r="K184" s="3">
        <f t="shared" si="29"/>
        <v>-29993351954</v>
      </c>
      <c r="L184" s="15">
        <f t="shared" si="30"/>
        <v>-6.2410172657120122E-2</v>
      </c>
      <c r="M184" s="3">
        <v>56704060399</v>
      </c>
      <c r="N184" s="15">
        <f t="shared" si="31"/>
        <v>0.11798982005375355</v>
      </c>
      <c r="O184" s="16">
        <v>0.11600000000000001</v>
      </c>
      <c r="P184" s="16">
        <v>0.25700000000000001</v>
      </c>
      <c r="Q184" s="16">
        <v>-0.25900000000000001</v>
      </c>
      <c r="R184" s="3">
        <v>79582172489</v>
      </c>
      <c r="S184" s="3">
        <v>82513535353</v>
      </c>
      <c r="T184" s="3">
        <f t="shared" si="32"/>
        <v>-2931362864</v>
      </c>
      <c r="U184" s="15">
        <f t="shared" si="33"/>
        <v>-5.6310592231981552E-2</v>
      </c>
      <c r="V184" s="16">
        <f t="shared" si="34"/>
        <v>2.4137282286184901E-13</v>
      </c>
      <c r="W184" s="16">
        <f t="shared" si="35"/>
        <v>-1.4471822203619259E-2</v>
      </c>
      <c r="X184" s="16">
        <f t="shared" si="36"/>
        <v>-3.0559363393922172E-2</v>
      </c>
      <c r="Y184" s="15">
        <f>V184+W184+X184</f>
        <v>-4.5031185597300058E-2</v>
      </c>
      <c r="Z184" s="47">
        <f t="shared" si="38"/>
        <v>6.4647019061534972E-2</v>
      </c>
    </row>
    <row r="185" spans="1:26" x14ac:dyDescent="0.25">
      <c r="C185" s="16"/>
      <c r="D185" s="16"/>
      <c r="E185" s="16"/>
      <c r="F185" s="16"/>
      <c r="G185" s="15"/>
      <c r="H185" s="16"/>
      <c r="I185" s="16"/>
      <c r="J185" s="16"/>
      <c r="K185" s="16"/>
      <c r="L185" s="15"/>
      <c r="M185" s="16"/>
      <c r="N185" s="15"/>
      <c r="O185" s="16"/>
      <c r="P185" s="16"/>
      <c r="Q185" s="16"/>
      <c r="R185" s="16"/>
      <c r="S185" s="16"/>
      <c r="T185" s="16"/>
      <c r="U185" s="15"/>
      <c r="V185" s="16"/>
      <c r="W185" s="16"/>
      <c r="X185" s="16"/>
    </row>
    <row r="186" spans="1:26" x14ac:dyDescent="0.25">
      <c r="C186" s="16"/>
      <c r="D186" s="16"/>
      <c r="E186" s="16"/>
      <c r="F186" s="16"/>
      <c r="G186" s="15"/>
      <c r="H186" s="16"/>
      <c r="I186" s="16"/>
      <c r="J186" s="16"/>
      <c r="K186" s="16"/>
      <c r="L186" s="15"/>
      <c r="M186" s="16"/>
      <c r="N186" s="15"/>
      <c r="O186" s="16"/>
      <c r="P186" s="16"/>
      <c r="Q186" s="16"/>
      <c r="R186" s="16"/>
      <c r="S186" s="16"/>
      <c r="T186" s="16"/>
      <c r="U186" s="15"/>
      <c r="V186" s="16"/>
      <c r="W186" s="16"/>
      <c r="X186" s="16"/>
    </row>
    <row r="187" spans="1:26" x14ac:dyDescent="0.25">
      <c r="C187" s="16"/>
      <c r="D187" s="16"/>
      <c r="E187" s="16"/>
      <c r="F187" s="16"/>
      <c r="G187" s="15"/>
      <c r="H187" s="16"/>
      <c r="I187" s="16"/>
      <c r="J187" s="16"/>
      <c r="K187" s="16"/>
      <c r="L187" s="15"/>
      <c r="M187" s="16"/>
      <c r="N187" s="15"/>
      <c r="O187" s="16"/>
      <c r="P187" s="16"/>
      <c r="Q187" s="16"/>
      <c r="R187" s="16"/>
      <c r="S187" s="16"/>
      <c r="T187" s="16"/>
      <c r="U187" s="15"/>
      <c r="V187" s="16"/>
      <c r="W187" s="16"/>
      <c r="X187" s="16"/>
    </row>
    <row r="188" spans="1:26" x14ac:dyDescent="0.25">
      <c r="C188" s="16"/>
      <c r="D188" s="16"/>
      <c r="E188" s="16"/>
      <c r="F188" s="16"/>
      <c r="G188" s="15"/>
      <c r="H188" s="16"/>
      <c r="I188" s="16"/>
      <c r="J188" s="16"/>
      <c r="K188" s="16"/>
      <c r="L188" s="15"/>
      <c r="M188" s="16"/>
      <c r="N188" s="15"/>
      <c r="O188" s="16"/>
      <c r="P188" s="16"/>
      <c r="Q188" s="16"/>
      <c r="R188" s="16"/>
      <c r="S188" s="16"/>
      <c r="T188" s="16"/>
      <c r="U188" s="15"/>
      <c r="V188" s="16"/>
      <c r="W188" s="16"/>
      <c r="X188" s="16"/>
    </row>
    <row r="189" spans="1:26" x14ac:dyDescent="0.25">
      <c r="C189" s="16"/>
      <c r="D189" s="16"/>
      <c r="E189" s="16"/>
      <c r="F189" s="16"/>
      <c r="G189" s="15"/>
      <c r="H189" s="16"/>
      <c r="I189" s="16"/>
      <c r="J189" s="16"/>
      <c r="K189" s="16"/>
      <c r="L189" s="15"/>
      <c r="M189" s="16"/>
      <c r="N189" s="15"/>
      <c r="O189" s="16"/>
      <c r="P189" s="16"/>
      <c r="Q189" s="16"/>
      <c r="R189" s="16"/>
      <c r="S189" s="16"/>
      <c r="T189" s="16"/>
      <c r="U189" s="15"/>
      <c r="V189" s="16"/>
      <c r="W189" s="16"/>
      <c r="X189" s="16"/>
    </row>
    <row r="190" spans="1:26" x14ac:dyDescent="0.25">
      <c r="C190" s="16"/>
      <c r="D190" s="16"/>
      <c r="E190" s="16"/>
      <c r="F190" s="16"/>
      <c r="G190" s="15"/>
      <c r="H190" s="16"/>
      <c r="I190" s="16"/>
      <c r="J190" s="16"/>
      <c r="K190" s="16"/>
      <c r="L190" s="15"/>
      <c r="M190" s="16"/>
      <c r="N190" s="15"/>
      <c r="O190" s="16"/>
      <c r="P190" s="16"/>
      <c r="Q190" s="16"/>
      <c r="R190" s="16"/>
      <c r="S190" s="16"/>
      <c r="T190" s="16"/>
      <c r="U190" s="15"/>
      <c r="V190" s="16"/>
      <c r="W190" s="16"/>
      <c r="X190" s="16"/>
    </row>
    <row r="191" spans="1:26" x14ac:dyDescent="0.25">
      <c r="C191" s="16"/>
      <c r="D191" s="16"/>
      <c r="E191" s="16"/>
      <c r="F191" s="16"/>
      <c r="G191" s="15"/>
      <c r="H191" s="16"/>
      <c r="I191" s="16"/>
      <c r="J191" s="16"/>
      <c r="K191" s="16"/>
      <c r="L191" s="15"/>
      <c r="M191" s="16"/>
      <c r="N191" s="15"/>
      <c r="O191" s="16"/>
      <c r="P191" s="16"/>
      <c r="Q191" s="16"/>
      <c r="R191" s="16"/>
      <c r="S191" s="16"/>
      <c r="T191" s="16"/>
      <c r="U191" s="15"/>
      <c r="V191" s="16"/>
      <c r="W191" s="16"/>
      <c r="X191" s="16"/>
    </row>
    <row r="192" spans="1:26" x14ac:dyDescent="0.25">
      <c r="C192" s="16"/>
      <c r="D192" s="16"/>
      <c r="E192" s="16"/>
      <c r="F192" s="16"/>
      <c r="G192" s="15"/>
      <c r="H192" s="16"/>
      <c r="I192" s="16"/>
      <c r="J192" s="16"/>
      <c r="K192" s="16"/>
      <c r="L192" s="15"/>
      <c r="M192" s="16"/>
      <c r="N192" s="15"/>
      <c r="O192" s="16"/>
      <c r="P192" s="16"/>
      <c r="Q192" s="16"/>
      <c r="R192" s="16"/>
      <c r="S192" s="16"/>
      <c r="T192" s="16"/>
      <c r="U192" s="15"/>
      <c r="V192" s="16"/>
      <c r="W192" s="16"/>
      <c r="X192" s="16"/>
    </row>
    <row r="193" spans="3:24" x14ac:dyDescent="0.25">
      <c r="C193" s="16"/>
      <c r="D193" s="16"/>
      <c r="E193" s="16"/>
      <c r="F193" s="16"/>
      <c r="G193" s="15"/>
      <c r="H193" s="16"/>
      <c r="I193" s="16"/>
      <c r="J193" s="16"/>
      <c r="K193" s="16"/>
      <c r="L193" s="15"/>
      <c r="M193" s="16"/>
      <c r="N193" s="15"/>
      <c r="O193" s="16"/>
      <c r="P193" s="16"/>
      <c r="Q193" s="16"/>
      <c r="R193" s="16"/>
      <c r="S193" s="16"/>
      <c r="T193" s="16"/>
      <c r="U193" s="15"/>
      <c r="V193" s="16"/>
      <c r="W193" s="16"/>
      <c r="X193" s="16"/>
    </row>
    <row r="194" spans="3:24" x14ac:dyDescent="0.25">
      <c r="C194" s="16"/>
      <c r="D194" s="16"/>
      <c r="E194" s="16"/>
      <c r="F194" s="16"/>
      <c r="G194" s="15"/>
      <c r="H194" s="16"/>
      <c r="I194" s="16"/>
      <c r="J194" s="16"/>
      <c r="K194" s="16"/>
      <c r="L194" s="15"/>
      <c r="M194" s="16"/>
      <c r="N194" s="15"/>
      <c r="O194" s="16"/>
      <c r="P194" s="16"/>
      <c r="Q194" s="16"/>
      <c r="R194" s="16"/>
      <c r="S194" s="16"/>
      <c r="T194" s="16"/>
      <c r="U194" s="15"/>
      <c r="V194" s="16"/>
      <c r="W194" s="16"/>
      <c r="X194" s="16"/>
    </row>
    <row r="195" spans="3:24" x14ac:dyDescent="0.25">
      <c r="C195" s="16"/>
      <c r="D195" s="16"/>
      <c r="E195" s="16"/>
      <c r="F195" s="16"/>
      <c r="G195" s="15"/>
      <c r="H195" s="16"/>
      <c r="I195" s="16"/>
      <c r="J195" s="16"/>
      <c r="K195" s="16"/>
      <c r="L195" s="15"/>
      <c r="M195" s="16"/>
      <c r="N195" s="15"/>
      <c r="O195" s="16"/>
      <c r="P195" s="16"/>
      <c r="Q195" s="16"/>
      <c r="R195" s="16"/>
      <c r="S195" s="16"/>
      <c r="T195" s="16"/>
      <c r="U195" s="15"/>
      <c r="V195" s="16"/>
      <c r="W195" s="16"/>
      <c r="X195" s="16"/>
    </row>
    <row r="196" spans="3:24" x14ac:dyDescent="0.25">
      <c r="C196" s="16"/>
      <c r="D196" s="16"/>
      <c r="E196" s="16"/>
      <c r="F196" s="16"/>
      <c r="G196" s="15"/>
      <c r="H196" s="16"/>
      <c r="I196" s="16"/>
      <c r="J196" s="16"/>
      <c r="K196" s="16"/>
      <c r="L196" s="15"/>
      <c r="M196" s="16"/>
      <c r="N196" s="15"/>
      <c r="O196" s="16"/>
      <c r="P196" s="16"/>
      <c r="Q196" s="16"/>
      <c r="R196" s="16"/>
      <c r="S196" s="16"/>
      <c r="T196" s="16"/>
      <c r="U196" s="15"/>
      <c r="V196" s="16"/>
      <c r="W196" s="16"/>
      <c r="X196" s="16"/>
    </row>
    <row r="197" spans="3:24" x14ac:dyDescent="0.25">
      <c r="C197" s="16"/>
      <c r="D197" s="16"/>
      <c r="E197" s="16"/>
      <c r="F197" s="16"/>
      <c r="G197" s="15"/>
      <c r="H197" s="16"/>
      <c r="I197" s="16"/>
      <c r="J197" s="16"/>
      <c r="K197" s="16"/>
      <c r="L197" s="15"/>
      <c r="M197" s="16"/>
      <c r="N197" s="15"/>
      <c r="O197" s="16"/>
      <c r="P197" s="16"/>
      <c r="Q197" s="16"/>
      <c r="R197" s="16"/>
      <c r="S197" s="16"/>
      <c r="T197" s="16"/>
      <c r="U197" s="15"/>
      <c r="V197" s="16"/>
      <c r="W197" s="16"/>
      <c r="X197" s="16"/>
    </row>
    <row r="198" spans="3:24" x14ac:dyDescent="0.25">
      <c r="C198" s="16"/>
      <c r="D198" s="16"/>
      <c r="E198" s="16"/>
      <c r="F198" s="16"/>
      <c r="G198" s="15"/>
      <c r="H198" s="16"/>
      <c r="I198" s="16"/>
      <c r="J198" s="16"/>
      <c r="K198" s="16"/>
      <c r="L198" s="15"/>
      <c r="M198" s="16"/>
      <c r="N198" s="15"/>
      <c r="O198" s="16"/>
      <c r="P198" s="16"/>
      <c r="Q198" s="16"/>
      <c r="R198" s="16"/>
      <c r="S198" s="16"/>
      <c r="T198" s="16"/>
      <c r="U198" s="15"/>
      <c r="V198" s="16"/>
      <c r="W198" s="16"/>
      <c r="X198" s="16"/>
    </row>
    <row r="199" spans="3:24" x14ac:dyDescent="0.25">
      <c r="C199" s="16"/>
      <c r="D199" s="16"/>
      <c r="E199" s="16"/>
      <c r="F199" s="16"/>
      <c r="G199" s="15"/>
      <c r="H199" s="16"/>
      <c r="I199" s="16"/>
      <c r="J199" s="16"/>
      <c r="K199" s="16"/>
      <c r="L199" s="15"/>
      <c r="M199" s="16"/>
      <c r="N199" s="15"/>
      <c r="O199" s="16"/>
      <c r="P199" s="16"/>
      <c r="Q199" s="16"/>
      <c r="R199" s="16"/>
      <c r="S199" s="16"/>
      <c r="T199" s="16"/>
      <c r="U199" s="15"/>
      <c r="V199" s="16"/>
      <c r="W199" s="16"/>
      <c r="X199" s="16"/>
    </row>
    <row r="200" spans="3:24" x14ac:dyDescent="0.25">
      <c r="C200" s="16"/>
      <c r="D200" s="16"/>
      <c r="E200" s="16"/>
      <c r="F200" s="16"/>
      <c r="G200" s="15"/>
      <c r="H200" s="16"/>
      <c r="I200" s="16"/>
      <c r="J200" s="16"/>
      <c r="K200" s="16"/>
      <c r="L200" s="15"/>
      <c r="M200" s="16"/>
      <c r="N200" s="15"/>
      <c r="O200" s="16"/>
      <c r="P200" s="16"/>
      <c r="Q200" s="16"/>
      <c r="R200" s="16"/>
      <c r="S200" s="16"/>
      <c r="T200" s="16"/>
      <c r="U200" s="15"/>
      <c r="V200" s="16"/>
      <c r="W200" s="16"/>
      <c r="X200" s="16"/>
    </row>
    <row r="201" spans="3:24" x14ac:dyDescent="0.25">
      <c r="C201" s="16"/>
      <c r="D201" s="16"/>
      <c r="E201" s="16"/>
      <c r="F201" s="16"/>
      <c r="G201" s="15"/>
      <c r="H201" s="16"/>
      <c r="I201" s="16"/>
      <c r="J201" s="16"/>
      <c r="K201" s="16"/>
      <c r="L201" s="15"/>
      <c r="M201" s="16"/>
      <c r="N201" s="15"/>
      <c r="O201" s="16"/>
      <c r="P201" s="16"/>
      <c r="Q201" s="16"/>
      <c r="R201" s="16"/>
      <c r="S201" s="16"/>
      <c r="T201" s="16"/>
      <c r="U201" s="15"/>
      <c r="V201" s="16"/>
      <c r="W201" s="16"/>
      <c r="X201" s="16"/>
    </row>
    <row r="202" spans="3:24" x14ac:dyDescent="0.25">
      <c r="C202" s="16"/>
      <c r="D202" s="16"/>
      <c r="E202" s="16"/>
      <c r="F202" s="16"/>
      <c r="G202" s="15"/>
      <c r="H202" s="16"/>
      <c r="I202" s="16"/>
      <c r="J202" s="16"/>
      <c r="K202" s="16"/>
      <c r="L202" s="15"/>
      <c r="M202" s="16"/>
      <c r="N202" s="15"/>
      <c r="O202" s="16"/>
      <c r="P202" s="16"/>
      <c r="Q202" s="16"/>
      <c r="R202" s="16"/>
      <c r="S202" s="16"/>
      <c r="T202" s="16"/>
      <c r="U202" s="15"/>
      <c r="V202" s="16"/>
      <c r="W202" s="16"/>
      <c r="X202" s="16"/>
    </row>
    <row r="203" spans="3:24" x14ac:dyDescent="0.25">
      <c r="C203" s="16"/>
      <c r="D203" s="16"/>
      <c r="E203" s="16"/>
      <c r="F203" s="16"/>
      <c r="G203" s="15"/>
      <c r="H203" s="16"/>
      <c r="I203" s="16"/>
      <c r="J203" s="16"/>
      <c r="K203" s="16"/>
      <c r="L203" s="15"/>
      <c r="M203" s="16"/>
      <c r="N203" s="15"/>
      <c r="O203" s="16"/>
      <c r="P203" s="16"/>
      <c r="Q203" s="16"/>
      <c r="R203" s="16"/>
      <c r="S203" s="16"/>
      <c r="T203" s="16"/>
      <c r="U203" s="15"/>
      <c r="V203" s="16"/>
      <c r="W203" s="16"/>
      <c r="X203" s="16"/>
    </row>
    <row r="204" spans="3:24" x14ac:dyDescent="0.25">
      <c r="C204" s="16"/>
      <c r="D204" s="16"/>
      <c r="E204" s="16"/>
      <c r="F204" s="16"/>
      <c r="G204" s="15"/>
      <c r="H204" s="16"/>
      <c r="I204" s="16"/>
      <c r="J204" s="16"/>
      <c r="K204" s="16"/>
      <c r="L204" s="15"/>
      <c r="M204" s="16"/>
      <c r="N204" s="15"/>
      <c r="O204" s="16"/>
      <c r="P204" s="16"/>
      <c r="Q204" s="16"/>
      <c r="R204" s="16"/>
      <c r="S204" s="16"/>
      <c r="T204" s="16"/>
      <c r="U204" s="15"/>
      <c r="V204" s="16"/>
      <c r="W204" s="16"/>
      <c r="X204" s="16"/>
    </row>
    <row r="205" spans="3:24" x14ac:dyDescent="0.25">
      <c r="C205" s="16"/>
      <c r="D205" s="16"/>
      <c r="E205" s="16"/>
      <c r="F205" s="16"/>
      <c r="G205" s="15"/>
      <c r="H205" s="16"/>
      <c r="I205" s="16"/>
      <c r="J205" s="16"/>
      <c r="K205" s="16"/>
      <c r="L205" s="15"/>
      <c r="M205" s="16"/>
      <c r="N205" s="15"/>
      <c r="O205" s="16"/>
      <c r="P205" s="16"/>
      <c r="Q205" s="16"/>
      <c r="R205" s="16"/>
      <c r="S205" s="16"/>
      <c r="T205" s="16"/>
      <c r="U205" s="15"/>
      <c r="V205" s="16"/>
      <c r="W205" s="16"/>
      <c r="X205" s="16"/>
    </row>
    <row r="206" spans="3:24" x14ac:dyDescent="0.25">
      <c r="C206" s="16"/>
      <c r="D206" s="16"/>
      <c r="E206" s="16"/>
      <c r="F206" s="16"/>
      <c r="G206" s="15"/>
      <c r="H206" s="16"/>
      <c r="I206" s="16"/>
      <c r="J206" s="16"/>
      <c r="K206" s="16"/>
      <c r="L206" s="15"/>
      <c r="M206" s="16"/>
      <c r="N206" s="15"/>
      <c r="O206" s="16"/>
      <c r="P206" s="16"/>
      <c r="Q206" s="16"/>
      <c r="R206" s="16"/>
      <c r="S206" s="16"/>
      <c r="T206" s="16"/>
      <c r="U206" s="15"/>
      <c r="V206" s="16"/>
      <c r="W206" s="16"/>
      <c r="X206" s="16"/>
    </row>
    <row r="207" spans="3:24" x14ac:dyDescent="0.25">
      <c r="C207" s="16"/>
      <c r="D207" s="16"/>
      <c r="E207" s="16"/>
      <c r="F207" s="16"/>
      <c r="G207" s="15"/>
      <c r="H207" s="16"/>
      <c r="I207" s="16"/>
      <c r="J207" s="16"/>
      <c r="K207" s="16"/>
      <c r="L207" s="15"/>
      <c r="M207" s="16"/>
      <c r="N207" s="15"/>
      <c r="O207" s="16"/>
      <c r="P207" s="16"/>
      <c r="Q207" s="16"/>
      <c r="R207" s="16"/>
      <c r="S207" s="16"/>
      <c r="T207" s="16"/>
      <c r="U207" s="15"/>
      <c r="V207" s="16"/>
      <c r="W207" s="16"/>
      <c r="X207" s="16"/>
    </row>
    <row r="208" spans="3:24" x14ac:dyDescent="0.25">
      <c r="C208" s="16"/>
      <c r="D208" s="16"/>
      <c r="E208" s="16"/>
      <c r="F208" s="16"/>
      <c r="G208" s="15"/>
      <c r="H208" s="16"/>
      <c r="I208" s="16"/>
      <c r="J208" s="16"/>
      <c r="K208" s="16"/>
      <c r="L208" s="15"/>
      <c r="M208" s="16"/>
      <c r="N208" s="15"/>
      <c r="O208" s="16"/>
      <c r="P208" s="16"/>
      <c r="Q208" s="16"/>
      <c r="R208" s="16"/>
      <c r="S208" s="16"/>
      <c r="T208" s="16"/>
      <c r="U208" s="15"/>
      <c r="V208" s="16"/>
      <c r="W208" s="16"/>
      <c r="X208" s="16"/>
    </row>
    <row r="209" spans="3:24" x14ac:dyDescent="0.25">
      <c r="C209" s="16"/>
      <c r="D209" s="16"/>
      <c r="E209" s="16"/>
      <c r="F209" s="16"/>
      <c r="G209" s="15"/>
      <c r="H209" s="16"/>
      <c r="I209" s="16"/>
      <c r="J209" s="16"/>
      <c r="K209" s="16"/>
      <c r="L209" s="15"/>
      <c r="M209" s="16"/>
      <c r="N209" s="15"/>
      <c r="O209" s="16"/>
      <c r="P209" s="16"/>
      <c r="Q209" s="16"/>
      <c r="R209" s="16"/>
      <c r="S209" s="16"/>
      <c r="T209" s="16"/>
      <c r="U209" s="15"/>
      <c r="V209" s="16"/>
      <c r="W209" s="16"/>
      <c r="X209" s="16"/>
    </row>
    <row r="210" spans="3:24" x14ac:dyDescent="0.25">
      <c r="C210" s="16"/>
      <c r="D210" s="16"/>
      <c r="E210" s="16"/>
      <c r="F210" s="16"/>
      <c r="G210" s="15"/>
      <c r="H210" s="16"/>
      <c r="I210" s="16"/>
      <c r="J210" s="16"/>
      <c r="K210" s="16"/>
      <c r="L210" s="15"/>
      <c r="M210" s="16"/>
      <c r="N210" s="15"/>
      <c r="O210" s="16"/>
      <c r="P210" s="16"/>
      <c r="Q210" s="16"/>
      <c r="R210" s="16"/>
      <c r="S210" s="16"/>
      <c r="T210" s="16"/>
      <c r="U210" s="15"/>
      <c r="V210" s="16"/>
      <c r="W210" s="16"/>
      <c r="X210" s="16"/>
    </row>
    <row r="211" spans="3:24" x14ac:dyDescent="0.25">
      <c r="C211" s="16"/>
      <c r="D211" s="16"/>
      <c r="E211" s="16"/>
      <c r="F211" s="16"/>
      <c r="G211" s="15"/>
      <c r="H211" s="16"/>
      <c r="I211" s="16"/>
      <c r="J211" s="16"/>
      <c r="K211" s="16"/>
      <c r="L211" s="15"/>
      <c r="M211" s="16"/>
      <c r="N211" s="15"/>
      <c r="O211" s="16"/>
      <c r="P211" s="16"/>
      <c r="Q211" s="16"/>
      <c r="R211" s="16"/>
      <c r="S211" s="16"/>
      <c r="T211" s="16"/>
      <c r="U211" s="15"/>
      <c r="V211" s="16"/>
      <c r="W211" s="16"/>
      <c r="X211" s="16"/>
    </row>
    <row r="212" spans="3:24" x14ac:dyDescent="0.25">
      <c r="C212" s="16"/>
      <c r="D212" s="16"/>
      <c r="E212" s="16"/>
      <c r="F212" s="16"/>
      <c r="G212" s="15"/>
      <c r="H212" s="16"/>
      <c r="I212" s="16"/>
      <c r="J212" s="16"/>
      <c r="K212" s="16"/>
      <c r="L212" s="15"/>
      <c r="M212" s="16"/>
      <c r="N212" s="15"/>
      <c r="O212" s="16"/>
      <c r="P212" s="16"/>
      <c r="Q212" s="16"/>
      <c r="R212" s="16"/>
      <c r="S212" s="16"/>
      <c r="T212" s="16"/>
      <c r="U212" s="15"/>
      <c r="V212" s="16"/>
      <c r="W212" s="16"/>
      <c r="X212" s="16"/>
    </row>
    <row r="213" spans="3:24" x14ac:dyDescent="0.25">
      <c r="C213" s="16"/>
      <c r="D213" s="16"/>
      <c r="E213" s="16"/>
      <c r="F213" s="16"/>
      <c r="G213" s="15"/>
      <c r="H213" s="16"/>
      <c r="I213" s="16"/>
      <c r="J213" s="16"/>
      <c r="K213" s="16"/>
      <c r="L213" s="15"/>
      <c r="M213" s="16"/>
      <c r="N213" s="15"/>
      <c r="O213" s="16"/>
      <c r="P213" s="16"/>
      <c r="Q213" s="16"/>
      <c r="R213" s="16"/>
      <c r="S213" s="16"/>
      <c r="T213" s="16"/>
      <c r="U213" s="15"/>
      <c r="V213" s="16"/>
      <c r="W213" s="16"/>
      <c r="X213" s="16"/>
    </row>
    <row r="214" spans="3:24" x14ac:dyDescent="0.25">
      <c r="C214" s="16"/>
      <c r="D214" s="16"/>
      <c r="E214" s="16"/>
      <c r="F214" s="16"/>
      <c r="G214" s="15"/>
      <c r="H214" s="16"/>
      <c r="I214" s="16"/>
      <c r="J214" s="16"/>
      <c r="K214" s="16"/>
      <c r="L214" s="15"/>
      <c r="M214" s="16"/>
      <c r="N214" s="15"/>
      <c r="O214" s="16"/>
      <c r="P214" s="16"/>
      <c r="Q214" s="16"/>
      <c r="R214" s="16"/>
      <c r="S214" s="16"/>
      <c r="T214" s="16"/>
      <c r="U214" s="15"/>
      <c r="V214" s="16"/>
      <c r="W214" s="16"/>
      <c r="X214" s="16"/>
    </row>
    <row r="215" spans="3:24" x14ac:dyDescent="0.25">
      <c r="C215" s="16"/>
      <c r="D215" s="16"/>
      <c r="E215" s="16"/>
      <c r="F215" s="16"/>
      <c r="G215" s="15"/>
      <c r="H215" s="16"/>
      <c r="I215" s="16"/>
      <c r="J215" s="16"/>
      <c r="K215" s="16"/>
      <c r="L215" s="15"/>
      <c r="M215" s="16"/>
      <c r="N215" s="15"/>
      <c r="O215" s="16"/>
      <c r="P215" s="16"/>
      <c r="Q215" s="16"/>
      <c r="R215" s="16"/>
      <c r="S215" s="16"/>
      <c r="T215" s="16"/>
      <c r="U215" s="15"/>
      <c r="V215" s="16"/>
      <c r="W215" s="16"/>
      <c r="X215" s="16"/>
    </row>
    <row r="216" spans="3:24" x14ac:dyDescent="0.25">
      <c r="C216" s="16"/>
      <c r="D216" s="16"/>
      <c r="E216" s="16"/>
      <c r="F216" s="16"/>
      <c r="G216" s="15"/>
      <c r="H216" s="16"/>
      <c r="I216" s="16"/>
      <c r="J216" s="16"/>
      <c r="K216" s="16"/>
      <c r="L216" s="15"/>
      <c r="M216" s="16"/>
      <c r="N216" s="15"/>
      <c r="O216" s="16"/>
      <c r="P216" s="16"/>
      <c r="Q216" s="16"/>
      <c r="R216" s="16"/>
      <c r="S216" s="16"/>
      <c r="T216" s="16"/>
      <c r="U216" s="15"/>
      <c r="V216" s="16"/>
      <c r="W216" s="16"/>
      <c r="X216" s="16"/>
    </row>
    <row r="217" spans="3:24" x14ac:dyDescent="0.25">
      <c r="C217" s="16"/>
      <c r="D217" s="16"/>
      <c r="E217" s="16"/>
      <c r="F217" s="16"/>
      <c r="G217" s="15"/>
      <c r="H217" s="16"/>
      <c r="I217" s="16"/>
      <c r="J217" s="16"/>
      <c r="K217" s="16"/>
      <c r="L217" s="15"/>
      <c r="M217" s="16"/>
      <c r="N217" s="15"/>
      <c r="O217" s="16"/>
      <c r="P217" s="16"/>
      <c r="Q217" s="16"/>
      <c r="R217" s="16"/>
      <c r="S217" s="16"/>
      <c r="T217" s="16"/>
      <c r="U217" s="15"/>
      <c r="V217" s="16"/>
      <c r="W217" s="16"/>
      <c r="X217" s="16"/>
    </row>
    <row r="218" spans="3:24" x14ac:dyDescent="0.25">
      <c r="C218" s="16"/>
      <c r="D218" s="16"/>
      <c r="E218" s="16"/>
      <c r="F218" s="16"/>
      <c r="G218" s="15"/>
      <c r="H218" s="16"/>
      <c r="I218" s="16"/>
      <c r="J218" s="16"/>
      <c r="K218" s="16"/>
      <c r="L218" s="15"/>
      <c r="M218" s="16"/>
      <c r="N218" s="15"/>
      <c r="O218" s="16"/>
      <c r="P218" s="16"/>
      <c r="Q218" s="16"/>
      <c r="R218" s="16"/>
      <c r="S218" s="16"/>
      <c r="T218" s="16"/>
      <c r="U218" s="15"/>
      <c r="V218" s="16"/>
      <c r="W218" s="16"/>
      <c r="X218" s="16"/>
    </row>
    <row r="219" spans="3:24" x14ac:dyDescent="0.25">
      <c r="C219" s="16"/>
      <c r="D219" s="16"/>
      <c r="E219" s="16"/>
      <c r="F219" s="16"/>
      <c r="G219" s="15"/>
      <c r="H219" s="16"/>
      <c r="I219" s="16"/>
      <c r="J219" s="16"/>
      <c r="K219" s="16"/>
      <c r="L219" s="15"/>
      <c r="M219" s="16"/>
      <c r="N219" s="15"/>
      <c r="O219" s="16"/>
      <c r="P219" s="16"/>
      <c r="Q219" s="16"/>
      <c r="R219" s="16"/>
      <c r="S219" s="16"/>
      <c r="T219" s="16"/>
      <c r="U219" s="15"/>
      <c r="V219" s="16"/>
      <c r="W219" s="16"/>
      <c r="X219" s="16"/>
    </row>
    <row r="220" spans="3:24" x14ac:dyDescent="0.25">
      <c r="C220" s="16"/>
      <c r="D220" s="16"/>
      <c r="E220" s="16"/>
      <c r="F220" s="16"/>
      <c r="G220" s="15"/>
      <c r="H220" s="16"/>
      <c r="I220" s="16"/>
      <c r="J220" s="16"/>
      <c r="K220" s="16"/>
      <c r="L220" s="15"/>
      <c r="M220" s="16"/>
      <c r="N220" s="15"/>
      <c r="O220" s="16"/>
      <c r="P220" s="16"/>
      <c r="Q220" s="16"/>
      <c r="R220" s="16"/>
      <c r="S220" s="16"/>
      <c r="T220" s="16"/>
      <c r="U220" s="15"/>
      <c r="V220" s="16"/>
      <c r="W220" s="16"/>
      <c r="X220" s="16"/>
    </row>
    <row r="221" spans="3:24" x14ac:dyDescent="0.25">
      <c r="C221" s="16"/>
      <c r="D221" s="16"/>
      <c r="E221" s="16"/>
      <c r="F221" s="16"/>
      <c r="G221" s="15"/>
      <c r="H221" s="16"/>
      <c r="I221" s="16"/>
      <c r="J221" s="16"/>
      <c r="K221" s="16"/>
      <c r="L221" s="15"/>
      <c r="M221" s="16"/>
      <c r="N221" s="15"/>
      <c r="O221" s="16"/>
      <c r="P221" s="16"/>
      <c r="Q221" s="16"/>
      <c r="R221" s="16"/>
      <c r="S221" s="16"/>
      <c r="T221" s="16"/>
      <c r="U221" s="15"/>
      <c r="V221" s="16"/>
      <c r="W221" s="16"/>
      <c r="X221" s="16"/>
    </row>
    <row r="222" spans="3:24" x14ac:dyDescent="0.25">
      <c r="C222" s="16"/>
      <c r="D222" s="16"/>
      <c r="E222" s="16"/>
      <c r="F222" s="16"/>
      <c r="G222" s="15"/>
      <c r="H222" s="16"/>
      <c r="I222" s="16"/>
      <c r="J222" s="16"/>
      <c r="K222" s="16"/>
      <c r="L222" s="15"/>
      <c r="M222" s="16"/>
      <c r="N222" s="15"/>
      <c r="O222" s="16"/>
      <c r="P222" s="16"/>
      <c r="Q222" s="16"/>
      <c r="R222" s="16"/>
      <c r="S222" s="16"/>
      <c r="T222" s="16"/>
      <c r="U222" s="15"/>
      <c r="V222" s="16"/>
      <c r="W222" s="16"/>
      <c r="X222" s="16"/>
    </row>
    <row r="223" spans="3:24" x14ac:dyDescent="0.25">
      <c r="C223" s="16"/>
      <c r="D223" s="16"/>
      <c r="E223" s="16"/>
      <c r="F223" s="16"/>
      <c r="G223" s="15"/>
      <c r="H223" s="16"/>
      <c r="I223" s="16"/>
      <c r="J223" s="16"/>
      <c r="K223" s="16"/>
      <c r="L223" s="15"/>
      <c r="M223" s="16"/>
      <c r="N223" s="15"/>
      <c r="O223" s="16"/>
      <c r="P223" s="16"/>
      <c r="Q223" s="16"/>
      <c r="R223" s="16"/>
      <c r="S223" s="16"/>
      <c r="T223" s="16"/>
      <c r="U223" s="15"/>
      <c r="V223" s="16"/>
      <c r="W223" s="16"/>
      <c r="X223" s="16"/>
    </row>
    <row r="224" spans="3:24" x14ac:dyDescent="0.25">
      <c r="C224" s="16"/>
      <c r="D224" s="16"/>
      <c r="E224" s="16"/>
      <c r="F224" s="16"/>
      <c r="G224" s="15"/>
      <c r="H224" s="16"/>
      <c r="I224" s="16"/>
      <c r="J224" s="16"/>
      <c r="K224" s="16"/>
      <c r="L224" s="15"/>
      <c r="M224" s="16"/>
      <c r="N224" s="15"/>
      <c r="O224" s="16"/>
      <c r="P224" s="16"/>
      <c r="Q224" s="16"/>
      <c r="R224" s="16"/>
      <c r="S224" s="16"/>
      <c r="T224" s="16"/>
      <c r="U224" s="15"/>
      <c r="V224" s="16"/>
      <c r="W224" s="16"/>
      <c r="X224" s="16"/>
    </row>
    <row r="225" spans="3:24" x14ac:dyDescent="0.25">
      <c r="C225" s="16"/>
      <c r="D225" s="16"/>
      <c r="E225" s="16"/>
      <c r="F225" s="16"/>
      <c r="G225" s="15"/>
      <c r="H225" s="16"/>
      <c r="I225" s="16"/>
      <c r="J225" s="16"/>
      <c r="K225" s="16"/>
      <c r="L225" s="15"/>
      <c r="M225" s="16"/>
      <c r="N225" s="15"/>
      <c r="O225" s="16"/>
      <c r="P225" s="16"/>
      <c r="Q225" s="16"/>
      <c r="R225" s="16"/>
      <c r="S225" s="16"/>
      <c r="T225" s="16"/>
      <c r="U225" s="15"/>
      <c r="V225" s="16"/>
      <c r="W225" s="16"/>
      <c r="X225" s="16"/>
    </row>
    <row r="226" spans="3:24" x14ac:dyDescent="0.25">
      <c r="C226" s="16"/>
      <c r="D226" s="16"/>
      <c r="E226" s="16"/>
      <c r="F226" s="16"/>
      <c r="G226" s="15"/>
      <c r="H226" s="16"/>
      <c r="I226" s="16"/>
      <c r="J226" s="16"/>
      <c r="K226" s="16"/>
      <c r="L226" s="15"/>
      <c r="M226" s="16"/>
      <c r="N226" s="15"/>
      <c r="O226" s="16"/>
      <c r="P226" s="16"/>
      <c r="Q226" s="16"/>
      <c r="R226" s="16"/>
      <c r="S226" s="16"/>
      <c r="T226" s="16"/>
      <c r="U226" s="15"/>
      <c r="V226" s="16"/>
      <c r="W226" s="16"/>
      <c r="X226" s="16"/>
    </row>
    <row r="227" spans="3:24" x14ac:dyDescent="0.25">
      <c r="C227" s="16"/>
      <c r="D227" s="16"/>
      <c r="E227" s="16"/>
      <c r="F227" s="16"/>
      <c r="G227" s="15"/>
      <c r="H227" s="16"/>
      <c r="I227" s="16"/>
      <c r="J227" s="16"/>
      <c r="K227" s="16"/>
      <c r="L227" s="15"/>
      <c r="M227" s="16"/>
      <c r="N227" s="15"/>
      <c r="O227" s="16"/>
      <c r="P227" s="16"/>
      <c r="Q227" s="16"/>
      <c r="R227" s="16"/>
      <c r="S227" s="16"/>
      <c r="T227" s="16"/>
      <c r="U227" s="15"/>
      <c r="V227" s="16"/>
      <c r="W227" s="16"/>
      <c r="X227" s="16"/>
    </row>
    <row r="228" spans="3:24" x14ac:dyDescent="0.25">
      <c r="C228" s="16"/>
      <c r="D228" s="16"/>
      <c r="E228" s="16"/>
      <c r="F228" s="16"/>
      <c r="G228" s="15"/>
      <c r="H228" s="16"/>
      <c r="I228" s="16"/>
      <c r="J228" s="16"/>
      <c r="K228" s="16"/>
      <c r="L228" s="15"/>
      <c r="M228" s="16"/>
      <c r="N228" s="15"/>
      <c r="O228" s="16"/>
      <c r="P228" s="16"/>
      <c r="Q228" s="16"/>
      <c r="R228" s="16"/>
      <c r="S228" s="16"/>
      <c r="T228" s="16"/>
      <c r="U228" s="15"/>
      <c r="V228" s="16"/>
      <c r="W228" s="16"/>
      <c r="X228" s="16"/>
    </row>
    <row r="229" spans="3:24" x14ac:dyDescent="0.25">
      <c r="C229" s="16"/>
      <c r="D229" s="16"/>
      <c r="E229" s="16"/>
      <c r="F229" s="16"/>
      <c r="G229" s="15"/>
      <c r="H229" s="16"/>
      <c r="I229" s="16"/>
      <c r="J229" s="16"/>
      <c r="K229" s="16"/>
      <c r="L229" s="15"/>
      <c r="M229" s="16"/>
      <c r="N229" s="15"/>
      <c r="O229" s="16"/>
      <c r="P229" s="16"/>
      <c r="Q229" s="16"/>
      <c r="R229" s="16"/>
      <c r="S229" s="16"/>
      <c r="T229" s="16"/>
      <c r="U229" s="15"/>
      <c r="V229" s="16"/>
      <c r="W229" s="16"/>
      <c r="X229" s="16"/>
    </row>
    <row r="230" spans="3:24" x14ac:dyDescent="0.25">
      <c r="C230" s="16"/>
      <c r="D230" s="16"/>
      <c r="E230" s="16"/>
      <c r="F230" s="16"/>
      <c r="G230" s="15"/>
      <c r="H230" s="16"/>
      <c r="I230" s="16"/>
      <c r="J230" s="16"/>
      <c r="K230" s="16"/>
      <c r="L230" s="15"/>
      <c r="M230" s="16"/>
      <c r="N230" s="15"/>
      <c r="O230" s="16"/>
      <c r="P230" s="16"/>
      <c r="Q230" s="16"/>
      <c r="R230" s="16"/>
      <c r="S230" s="16"/>
      <c r="T230" s="16"/>
      <c r="U230" s="15"/>
      <c r="V230" s="16"/>
      <c r="W230" s="16"/>
      <c r="X230" s="16"/>
    </row>
    <row r="231" spans="3:24" x14ac:dyDescent="0.25">
      <c r="C231" s="16"/>
      <c r="D231" s="16"/>
      <c r="E231" s="16"/>
      <c r="F231" s="16"/>
      <c r="G231" s="15"/>
      <c r="H231" s="16"/>
      <c r="I231" s="16"/>
      <c r="J231" s="16"/>
      <c r="K231" s="16"/>
      <c r="L231" s="15"/>
      <c r="M231" s="16"/>
      <c r="N231" s="15"/>
      <c r="O231" s="16"/>
      <c r="P231" s="16"/>
      <c r="Q231" s="16"/>
      <c r="R231" s="16"/>
      <c r="S231" s="16"/>
      <c r="T231" s="16"/>
      <c r="U231" s="15"/>
      <c r="V231" s="16"/>
      <c r="W231" s="16"/>
      <c r="X231" s="16"/>
    </row>
    <row r="232" spans="3:24" x14ac:dyDescent="0.25">
      <c r="C232" s="16"/>
      <c r="D232" s="16"/>
      <c r="E232" s="16"/>
      <c r="F232" s="16"/>
      <c r="G232" s="15"/>
      <c r="H232" s="16"/>
      <c r="I232" s="16"/>
      <c r="J232" s="16"/>
      <c r="K232" s="16"/>
      <c r="L232" s="15"/>
      <c r="M232" s="16"/>
      <c r="N232" s="15"/>
      <c r="O232" s="16"/>
      <c r="P232" s="16"/>
      <c r="Q232" s="16"/>
      <c r="R232" s="16"/>
      <c r="S232" s="16"/>
      <c r="T232" s="16"/>
      <c r="U232" s="15"/>
      <c r="V232" s="16"/>
      <c r="W232" s="16"/>
      <c r="X232" s="16"/>
    </row>
    <row r="233" spans="3:24" x14ac:dyDescent="0.25">
      <c r="C233" s="16"/>
      <c r="D233" s="16"/>
      <c r="E233" s="16"/>
      <c r="F233" s="16"/>
      <c r="G233" s="15"/>
      <c r="H233" s="16"/>
      <c r="I233" s="16"/>
      <c r="J233" s="16"/>
      <c r="K233" s="16"/>
      <c r="L233" s="15"/>
      <c r="M233" s="16"/>
      <c r="N233" s="15"/>
      <c r="O233" s="16"/>
      <c r="P233" s="16"/>
      <c r="Q233" s="16"/>
      <c r="R233" s="16"/>
      <c r="S233" s="16"/>
      <c r="T233" s="16"/>
      <c r="U233" s="15"/>
      <c r="V233" s="16"/>
      <c r="W233" s="16"/>
      <c r="X233" s="16"/>
    </row>
    <row r="234" spans="3:24" x14ac:dyDescent="0.25">
      <c r="C234" s="16"/>
      <c r="D234" s="16"/>
      <c r="E234" s="16"/>
      <c r="F234" s="16"/>
      <c r="G234" s="15"/>
      <c r="H234" s="16"/>
      <c r="I234" s="16"/>
      <c r="J234" s="16"/>
      <c r="K234" s="16"/>
      <c r="L234" s="15"/>
      <c r="M234" s="16"/>
      <c r="N234" s="15"/>
      <c r="O234" s="16"/>
      <c r="P234" s="16"/>
      <c r="Q234" s="16"/>
      <c r="R234" s="16"/>
      <c r="S234" s="16"/>
      <c r="T234" s="16"/>
      <c r="U234" s="15"/>
      <c r="V234" s="16"/>
      <c r="W234" s="16"/>
      <c r="X234" s="16"/>
    </row>
    <row r="235" spans="3:24" x14ac:dyDescent="0.25">
      <c r="C235" s="16"/>
      <c r="D235" s="16"/>
      <c r="E235" s="16"/>
      <c r="F235" s="16"/>
      <c r="G235" s="15"/>
      <c r="H235" s="16"/>
      <c r="I235" s="16"/>
      <c r="J235" s="16"/>
      <c r="K235" s="16"/>
      <c r="L235" s="15"/>
      <c r="M235" s="16"/>
      <c r="N235" s="15"/>
      <c r="O235" s="16"/>
      <c r="P235" s="16"/>
      <c r="Q235" s="16"/>
      <c r="R235" s="16"/>
      <c r="S235" s="16"/>
      <c r="T235" s="16"/>
      <c r="U235" s="15"/>
      <c r="V235" s="16"/>
      <c r="W235" s="16"/>
      <c r="X235" s="16"/>
    </row>
    <row r="236" spans="3:24" x14ac:dyDescent="0.25">
      <c r="C236" s="16"/>
      <c r="D236" s="16"/>
      <c r="E236" s="16"/>
      <c r="F236" s="16"/>
      <c r="G236" s="15"/>
      <c r="H236" s="16"/>
      <c r="I236" s="16"/>
      <c r="J236" s="16"/>
      <c r="K236" s="16"/>
      <c r="L236" s="15"/>
      <c r="M236" s="16"/>
      <c r="N236" s="15"/>
      <c r="O236" s="16"/>
      <c r="P236" s="16"/>
      <c r="Q236" s="16"/>
      <c r="R236" s="16"/>
      <c r="S236" s="16"/>
      <c r="T236" s="16"/>
      <c r="U236" s="15"/>
      <c r="V236" s="16"/>
      <c r="W236" s="16"/>
      <c r="X236" s="16"/>
    </row>
    <row r="237" spans="3:24" x14ac:dyDescent="0.25">
      <c r="C237" s="16"/>
      <c r="D237" s="16"/>
      <c r="E237" s="16"/>
      <c r="F237" s="16"/>
      <c r="G237" s="15"/>
      <c r="H237" s="16"/>
      <c r="I237" s="16"/>
      <c r="J237" s="16"/>
      <c r="K237" s="16"/>
      <c r="L237" s="15"/>
      <c r="M237" s="16"/>
      <c r="N237" s="15"/>
      <c r="O237" s="16"/>
      <c r="P237" s="16"/>
      <c r="Q237" s="16"/>
      <c r="R237" s="16"/>
      <c r="S237" s="16"/>
      <c r="T237" s="16"/>
      <c r="U237" s="15"/>
      <c r="V237" s="16"/>
      <c r="W237" s="16"/>
      <c r="X237" s="16"/>
    </row>
    <row r="238" spans="3:24" x14ac:dyDescent="0.25">
      <c r="C238" s="16"/>
      <c r="D238" s="16"/>
      <c r="E238" s="16"/>
      <c r="F238" s="16"/>
      <c r="G238" s="15"/>
      <c r="H238" s="16"/>
      <c r="I238" s="16"/>
      <c r="J238" s="16"/>
      <c r="K238" s="16"/>
      <c r="L238" s="15"/>
      <c r="M238" s="16"/>
      <c r="N238" s="15"/>
      <c r="O238" s="16"/>
      <c r="P238" s="16"/>
      <c r="Q238" s="16"/>
      <c r="R238" s="16"/>
      <c r="S238" s="16"/>
      <c r="T238" s="16"/>
      <c r="U238" s="15"/>
      <c r="V238" s="16"/>
      <c r="W238" s="16"/>
      <c r="X238" s="16"/>
    </row>
    <row r="239" spans="3:24" x14ac:dyDescent="0.25">
      <c r="C239" s="16"/>
      <c r="D239" s="16"/>
      <c r="E239" s="16"/>
      <c r="F239" s="16"/>
      <c r="G239" s="15"/>
      <c r="H239" s="16"/>
      <c r="I239" s="16"/>
      <c r="J239" s="16"/>
      <c r="K239" s="16"/>
      <c r="L239" s="15"/>
      <c r="M239" s="16"/>
      <c r="N239" s="15"/>
      <c r="O239" s="16"/>
      <c r="P239" s="16"/>
      <c r="Q239" s="16"/>
      <c r="R239" s="16"/>
      <c r="S239" s="16"/>
      <c r="T239" s="16"/>
      <c r="U239" s="15"/>
      <c r="V239" s="16"/>
      <c r="W239" s="16"/>
      <c r="X239" s="16"/>
    </row>
    <row r="240" spans="3:24" x14ac:dyDescent="0.25">
      <c r="C240" s="16"/>
      <c r="D240" s="16"/>
      <c r="E240" s="16"/>
      <c r="F240" s="16"/>
      <c r="G240" s="15"/>
      <c r="H240" s="16"/>
      <c r="I240" s="16"/>
      <c r="J240" s="16"/>
      <c r="K240" s="16"/>
      <c r="L240" s="15"/>
      <c r="M240" s="16"/>
      <c r="N240" s="15"/>
      <c r="O240" s="16"/>
      <c r="P240" s="16"/>
      <c r="Q240" s="16"/>
      <c r="R240" s="16"/>
      <c r="S240" s="16"/>
      <c r="T240" s="16"/>
      <c r="U240" s="15"/>
      <c r="V240" s="16"/>
      <c r="W240" s="16"/>
      <c r="X240" s="16"/>
    </row>
    <row r="241" spans="3:24" x14ac:dyDescent="0.25">
      <c r="C241" s="16"/>
      <c r="D241" s="16"/>
      <c r="E241" s="16"/>
      <c r="F241" s="16"/>
      <c r="G241" s="15"/>
      <c r="H241" s="16"/>
      <c r="I241" s="16"/>
      <c r="J241" s="16"/>
      <c r="K241" s="16"/>
      <c r="L241" s="15"/>
      <c r="M241" s="16"/>
      <c r="N241" s="15"/>
      <c r="O241" s="16"/>
      <c r="P241" s="16"/>
      <c r="Q241" s="16"/>
      <c r="R241" s="16"/>
      <c r="S241" s="16"/>
      <c r="T241" s="16"/>
      <c r="U241" s="15"/>
      <c r="V241" s="16"/>
      <c r="W241" s="16"/>
      <c r="X241" s="16"/>
    </row>
    <row r="242" spans="3:24" x14ac:dyDescent="0.25">
      <c r="C242" s="16"/>
      <c r="D242" s="16"/>
      <c r="E242" s="16"/>
      <c r="F242" s="16"/>
      <c r="G242" s="15"/>
      <c r="H242" s="16"/>
      <c r="I242" s="16"/>
      <c r="J242" s="16"/>
      <c r="K242" s="16"/>
      <c r="L242" s="15"/>
      <c r="M242" s="16"/>
      <c r="N242" s="15"/>
      <c r="O242" s="16"/>
      <c r="P242" s="16"/>
      <c r="Q242" s="16"/>
      <c r="R242" s="16"/>
      <c r="S242" s="16"/>
      <c r="T242" s="16"/>
      <c r="U242" s="15"/>
      <c r="V242" s="16"/>
      <c r="W242" s="16"/>
      <c r="X242" s="16"/>
    </row>
    <row r="243" spans="3:24" x14ac:dyDescent="0.25">
      <c r="C243" s="16"/>
      <c r="D243" s="16"/>
      <c r="E243" s="16"/>
      <c r="F243" s="16"/>
      <c r="G243" s="15"/>
      <c r="H243" s="16"/>
      <c r="I243" s="16"/>
      <c r="J243" s="16"/>
      <c r="K243" s="16"/>
      <c r="L243" s="15"/>
      <c r="M243" s="16"/>
      <c r="N243" s="15"/>
      <c r="O243" s="16"/>
      <c r="P243" s="16"/>
      <c r="Q243" s="16"/>
      <c r="R243" s="16"/>
      <c r="S243" s="16"/>
      <c r="T243" s="16"/>
      <c r="U243" s="15"/>
      <c r="V243" s="16"/>
      <c r="W243" s="16"/>
      <c r="X243" s="16"/>
    </row>
    <row r="244" spans="3:24" x14ac:dyDescent="0.25">
      <c r="C244" s="16"/>
      <c r="D244" s="16"/>
      <c r="E244" s="16"/>
      <c r="F244" s="16"/>
      <c r="G244" s="15"/>
      <c r="H244" s="16"/>
      <c r="I244" s="16"/>
      <c r="J244" s="16"/>
      <c r="K244" s="16"/>
      <c r="L244" s="15"/>
      <c r="M244" s="16"/>
      <c r="N244" s="15"/>
      <c r="O244" s="16"/>
      <c r="P244" s="16"/>
      <c r="Q244" s="16"/>
      <c r="R244" s="16"/>
      <c r="S244" s="16"/>
      <c r="T244" s="16"/>
      <c r="U244" s="15"/>
      <c r="V244" s="16"/>
      <c r="W244" s="16"/>
      <c r="X244" s="16"/>
    </row>
    <row r="245" spans="3:24" x14ac:dyDescent="0.25">
      <c r="C245" s="16"/>
      <c r="D245" s="16"/>
      <c r="E245" s="16"/>
      <c r="F245" s="16"/>
      <c r="G245" s="15"/>
      <c r="H245" s="16"/>
      <c r="I245" s="16"/>
      <c r="J245" s="16"/>
      <c r="K245" s="16"/>
      <c r="L245" s="15"/>
      <c r="M245" s="16"/>
      <c r="N245" s="15"/>
      <c r="O245" s="16"/>
      <c r="P245" s="16"/>
      <c r="Q245" s="16"/>
      <c r="R245" s="16"/>
      <c r="S245" s="16"/>
      <c r="T245" s="16"/>
      <c r="U245" s="15"/>
      <c r="V245" s="16"/>
      <c r="W245" s="16"/>
      <c r="X245" s="16"/>
    </row>
    <row r="246" spans="3:24" x14ac:dyDescent="0.25">
      <c r="C246" s="16"/>
      <c r="D246" s="16"/>
      <c r="E246" s="16"/>
      <c r="F246" s="16"/>
      <c r="G246" s="15"/>
      <c r="H246" s="16"/>
      <c r="I246" s="16"/>
      <c r="J246" s="16"/>
      <c r="K246" s="16"/>
      <c r="L246" s="15"/>
      <c r="M246" s="16"/>
      <c r="N246" s="15"/>
      <c r="O246" s="16"/>
      <c r="P246" s="16"/>
      <c r="Q246" s="16"/>
      <c r="R246" s="16"/>
      <c r="S246" s="16"/>
      <c r="T246" s="16"/>
      <c r="U246" s="15"/>
      <c r="V246" s="16"/>
      <c r="W246" s="16"/>
      <c r="X246" s="16"/>
    </row>
    <row r="247" spans="3:24" x14ac:dyDescent="0.25">
      <c r="C247" s="16"/>
      <c r="D247" s="16"/>
      <c r="E247" s="16"/>
      <c r="F247" s="16"/>
      <c r="G247" s="15"/>
      <c r="H247" s="16"/>
      <c r="I247" s="16"/>
      <c r="J247" s="16"/>
      <c r="K247" s="16"/>
      <c r="L247" s="15"/>
      <c r="M247" s="16"/>
      <c r="N247" s="15"/>
      <c r="O247" s="16"/>
      <c r="P247" s="16"/>
      <c r="Q247" s="16"/>
      <c r="R247" s="16"/>
      <c r="S247" s="16"/>
      <c r="T247" s="16"/>
      <c r="U247" s="15"/>
      <c r="V247" s="16"/>
      <c r="W247" s="16"/>
      <c r="X247" s="16"/>
    </row>
    <row r="248" spans="3:24" x14ac:dyDescent="0.25">
      <c r="C248" s="16"/>
      <c r="D248" s="16"/>
      <c r="E248" s="16"/>
      <c r="F248" s="16"/>
      <c r="G248" s="15"/>
      <c r="H248" s="16"/>
      <c r="I248" s="16"/>
      <c r="J248" s="16"/>
      <c r="K248" s="16"/>
      <c r="L248" s="15"/>
      <c r="M248" s="16"/>
      <c r="N248" s="15"/>
      <c r="O248" s="16"/>
      <c r="P248" s="16"/>
      <c r="Q248" s="16"/>
      <c r="R248" s="16"/>
      <c r="S248" s="16"/>
      <c r="T248" s="16"/>
      <c r="U248" s="15"/>
      <c r="V248" s="16"/>
      <c r="W248" s="16"/>
      <c r="X248" s="16"/>
    </row>
    <row r="249" spans="3:24" x14ac:dyDescent="0.25">
      <c r="C249" s="16"/>
      <c r="D249" s="16"/>
      <c r="E249" s="16"/>
      <c r="F249" s="16"/>
      <c r="G249" s="15"/>
      <c r="H249" s="16"/>
      <c r="I249" s="16"/>
      <c r="J249" s="16"/>
      <c r="K249" s="16"/>
      <c r="L249" s="15"/>
      <c r="M249" s="16"/>
      <c r="N249" s="15"/>
      <c r="O249" s="16"/>
      <c r="P249" s="16"/>
      <c r="Q249" s="16"/>
      <c r="R249" s="16"/>
      <c r="S249" s="16"/>
      <c r="T249" s="16"/>
      <c r="U249" s="15"/>
      <c r="V249" s="16"/>
      <c r="W249" s="16"/>
      <c r="X249" s="16"/>
    </row>
    <row r="250" spans="3:24" x14ac:dyDescent="0.25">
      <c r="C250" s="16"/>
      <c r="D250" s="16"/>
      <c r="E250" s="16"/>
      <c r="F250" s="16"/>
      <c r="G250" s="15"/>
      <c r="H250" s="16"/>
      <c r="I250" s="16"/>
      <c r="J250" s="16"/>
      <c r="K250" s="16"/>
      <c r="L250" s="15"/>
      <c r="M250" s="16"/>
      <c r="N250" s="15"/>
      <c r="O250" s="16"/>
      <c r="P250" s="16"/>
      <c r="Q250" s="16"/>
      <c r="R250" s="16"/>
      <c r="S250" s="16"/>
      <c r="T250" s="16"/>
      <c r="U250" s="15"/>
      <c r="V250" s="16"/>
      <c r="W250" s="16"/>
      <c r="X250" s="16"/>
    </row>
    <row r="251" spans="3:24" x14ac:dyDescent="0.25">
      <c r="C251" s="16"/>
      <c r="D251" s="16"/>
      <c r="E251" s="16"/>
      <c r="F251" s="16"/>
      <c r="G251" s="15"/>
      <c r="H251" s="16"/>
      <c r="I251" s="16"/>
      <c r="J251" s="16"/>
      <c r="K251" s="16"/>
      <c r="L251" s="15"/>
      <c r="M251" s="16"/>
      <c r="N251" s="15"/>
      <c r="O251" s="16"/>
      <c r="P251" s="16"/>
      <c r="Q251" s="16"/>
      <c r="R251" s="16"/>
      <c r="S251" s="16"/>
      <c r="T251" s="16"/>
      <c r="U251" s="15"/>
      <c r="V251" s="16"/>
      <c r="W251" s="16"/>
      <c r="X251" s="16"/>
    </row>
    <row r="252" spans="3:24" x14ac:dyDescent="0.25">
      <c r="C252" s="16"/>
      <c r="D252" s="16"/>
      <c r="E252" s="16"/>
      <c r="F252" s="16"/>
      <c r="G252" s="15"/>
      <c r="H252" s="16"/>
      <c r="I252" s="16"/>
      <c r="J252" s="16"/>
      <c r="K252" s="16"/>
      <c r="L252" s="15"/>
      <c r="M252" s="16"/>
      <c r="N252" s="15"/>
      <c r="O252" s="16"/>
      <c r="P252" s="16"/>
      <c r="Q252" s="16"/>
      <c r="R252" s="16"/>
      <c r="S252" s="16"/>
      <c r="T252" s="16"/>
      <c r="U252" s="15"/>
      <c r="V252" s="16"/>
      <c r="W252" s="16"/>
      <c r="X252" s="16"/>
    </row>
    <row r="253" spans="3:24" x14ac:dyDescent="0.25">
      <c r="C253" s="16"/>
      <c r="D253" s="16"/>
      <c r="E253" s="16"/>
      <c r="F253" s="16"/>
      <c r="G253" s="15"/>
      <c r="H253" s="16"/>
      <c r="I253" s="16"/>
      <c r="J253" s="16"/>
      <c r="K253" s="16"/>
      <c r="L253" s="15"/>
      <c r="M253" s="16"/>
      <c r="N253" s="15"/>
      <c r="O253" s="16"/>
      <c r="P253" s="16"/>
      <c r="Q253" s="16"/>
      <c r="R253" s="16"/>
      <c r="S253" s="16"/>
      <c r="T253" s="16"/>
      <c r="U253" s="15"/>
      <c r="V253" s="16"/>
      <c r="W253" s="16"/>
      <c r="X253" s="16"/>
    </row>
    <row r="254" spans="3:24" x14ac:dyDescent="0.25">
      <c r="C254" s="16"/>
      <c r="D254" s="16"/>
      <c r="E254" s="16"/>
      <c r="F254" s="16"/>
      <c r="G254" s="15"/>
      <c r="H254" s="16"/>
      <c r="I254" s="16"/>
      <c r="J254" s="16"/>
      <c r="K254" s="16"/>
      <c r="L254" s="15"/>
      <c r="M254" s="16"/>
      <c r="N254" s="15"/>
      <c r="O254" s="16"/>
      <c r="P254" s="16"/>
      <c r="Q254" s="16"/>
      <c r="R254" s="16"/>
      <c r="S254" s="16"/>
      <c r="T254" s="16"/>
      <c r="U254" s="15"/>
      <c r="V254" s="16"/>
      <c r="W254" s="16"/>
      <c r="X254" s="16"/>
    </row>
    <row r="255" spans="3:24" x14ac:dyDescent="0.25">
      <c r="C255" s="16"/>
      <c r="D255" s="16"/>
      <c r="E255" s="16"/>
      <c r="F255" s="16"/>
      <c r="G255" s="15"/>
      <c r="H255" s="16"/>
      <c r="I255" s="16"/>
      <c r="J255" s="16"/>
      <c r="K255" s="16"/>
      <c r="L255" s="15"/>
      <c r="M255" s="16"/>
      <c r="N255" s="15"/>
      <c r="O255" s="16"/>
      <c r="P255" s="16"/>
      <c r="Q255" s="16"/>
      <c r="R255" s="16"/>
      <c r="S255" s="16"/>
      <c r="T255" s="16"/>
      <c r="U255" s="15"/>
      <c r="V255" s="16"/>
      <c r="W255" s="16"/>
      <c r="X255" s="16"/>
    </row>
    <row r="256" spans="3:24" x14ac:dyDescent="0.25">
      <c r="C256" s="16"/>
      <c r="D256" s="16"/>
      <c r="E256" s="16"/>
      <c r="F256" s="16"/>
      <c r="G256" s="15"/>
      <c r="H256" s="16"/>
      <c r="I256" s="16"/>
      <c r="J256" s="16"/>
      <c r="K256" s="16"/>
      <c r="L256" s="15"/>
      <c r="M256" s="16"/>
      <c r="N256" s="15"/>
      <c r="O256" s="16"/>
      <c r="P256" s="16"/>
      <c r="Q256" s="16"/>
      <c r="R256" s="16"/>
      <c r="S256" s="16"/>
      <c r="T256" s="16"/>
      <c r="U256" s="15"/>
      <c r="V256" s="16"/>
      <c r="W256" s="16"/>
      <c r="X256" s="16"/>
    </row>
    <row r="257" spans="3:24" x14ac:dyDescent="0.25">
      <c r="C257" s="16"/>
      <c r="D257" s="16"/>
      <c r="E257" s="16"/>
      <c r="F257" s="16"/>
      <c r="G257" s="15"/>
      <c r="H257" s="16"/>
      <c r="I257" s="16"/>
      <c r="J257" s="16"/>
      <c r="K257" s="16"/>
      <c r="L257" s="15"/>
      <c r="M257" s="16"/>
      <c r="N257" s="15"/>
      <c r="O257" s="16"/>
      <c r="P257" s="16"/>
      <c r="Q257" s="16"/>
      <c r="R257" s="16"/>
      <c r="S257" s="16"/>
      <c r="T257" s="16"/>
      <c r="U257" s="15"/>
      <c r="V257" s="16"/>
      <c r="W257" s="16"/>
      <c r="X257" s="16"/>
    </row>
    <row r="258" spans="3:24" x14ac:dyDescent="0.25">
      <c r="C258" s="16"/>
      <c r="D258" s="16"/>
      <c r="E258" s="16"/>
      <c r="F258" s="16"/>
      <c r="G258" s="15"/>
      <c r="H258" s="16"/>
      <c r="I258" s="16"/>
      <c r="J258" s="16"/>
      <c r="K258" s="16"/>
      <c r="L258" s="15"/>
      <c r="M258" s="16"/>
      <c r="N258" s="15"/>
      <c r="O258" s="16"/>
      <c r="P258" s="16"/>
      <c r="Q258" s="16"/>
      <c r="R258" s="16"/>
      <c r="S258" s="16"/>
      <c r="T258" s="16"/>
      <c r="U258" s="15"/>
      <c r="V258" s="16"/>
      <c r="W258" s="16"/>
      <c r="X258" s="16"/>
    </row>
    <row r="259" spans="3:24" x14ac:dyDescent="0.25">
      <c r="C259" s="16"/>
      <c r="D259" s="16"/>
      <c r="E259" s="16"/>
      <c r="F259" s="16"/>
      <c r="G259" s="15"/>
      <c r="H259" s="16"/>
      <c r="I259" s="16"/>
      <c r="J259" s="16"/>
      <c r="K259" s="16"/>
      <c r="L259" s="15"/>
      <c r="M259" s="16"/>
      <c r="N259" s="15"/>
      <c r="O259" s="16"/>
      <c r="P259" s="16"/>
      <c r="Q259" s="16"/>
      <c r="R259" s="16"/>
      <c r="S259" s="16"/>
      <c r="T259" s="16"/>
      <c r="U259" s="15"/>
      <c r="V259" s="16"/>
      <c r="W259" s="16"/>
      <c r="X259" s="16"/>
    </row>
    <row r="260" spans="3:24" x14ac:dyDescent="0.25">
      <c r="C260" s="16"/>
      <c r="D260" s="16"/>
      <c r="E260" s="16"/>
      <c r="F260" s="16"/>
      <c r="G260" s="15"/>
      <c r="H260" s="16"/>
      <c r="I260" s="16"/>
      <c r="J260" s="16"/>
      <c r="K260" s="16"/>
      <c r="L260" s="15"/>
      <c r="M260" s="16"/>
      <c r="N260" s="15"/>
      <c r="O260" s="16"/>
      <c r="P260" s="16"/>
      <c r="Q260" s="16"/>
      <c r="R260" s="16"/>
      <c r="S260" s="16"/>
      <c r="T260" s="16"/>
      <c r="U260" s="15"/>
      <c r="V260" s="16"/>
      <c r="W260" s="16"/>
      <c r="X260" s="16"/>
    </row>
    <row r="261" spans="3:24" x14ac:dyDescent="0.25">
      <c r="C261" s="16"/>
      <c r="D261" s="16"/>
      <c r="E261" s="16"/>
      <c r="F261" s="16"/>
      <c r="G261" s="15"/>
      <c r="H261" s="16"/>
      <c r="I261" s="16"/>
      <c r="J261" s="16"/>
      <c r="K261" s="16"/>
      <c r="L261" s="15"/>
      <c r="M261" s="16"/>
      <c r="N261" s="15"/>
      <c r="O261" s="16"/>
      <c r="P261" s="16"/>
      <c r="Q261" s="16"/>
      <c r="R261" s="16"/>
      <c r="S261" s="16"/>
      <c r="T261" s="16"/>
      <c r="U261" s="15"/>
      <c r="V261" s="16"/>
      <c r="W261" s="16"/>
      <c r="X261" s="16"/>
    </row>
    <row r="262" spans="3:24" x14ac:dyDescent="0.25">
      <c r="C262" s="16"/>
      <c r="D262" s="16"/>
      <c r="E262" s="16"/>
      <c r="F262" s="16"/>
      <c r="G262" s="15"/>
      <c r="H262" s="16"/>
      <c r="I262" s="16"/>
      <c r="J262" s="16"/>
      <c r="K262" s="16"/>
      <c r="L262" s="15"/>
      <c r="M262" s="16"/>
      <c r="N262" s="15"/>
      <c r="O262" s="16"/>
      <c r="P262" s="16"/>
      <c r="Q262" s="16"/>
      <c r="R262" s="16"/>
      <c r="S262" s="16"/>
      <c r="T262" s="16"/>
      <c r="U262" s="15"/>
      <c r="V262" s="16"/>
      <c r="W262" s="16"/>
      <c r="X262" s="16"/>
    </row>
    <row r="263" spans="3:24" x14ac:dyDescent="0.25">
      <c r="C263" s="16"/>
      <c r="D263" s="16"/>
      <c r="E263" s="16"/>
      <c r="F263" s="16"/>
      <c r="G263" s="15"/>
      <c r="H263" s="16"/>
      <c r="I263" s="16"/>
      <c r="J263" s="16"/>
      <c r="K263" s="16"/>
      <c r="L263" s="15"/>
      <c r="M263" s="16"/>
      <c r="N263" s="15"/>
      <c r="O263" s="16"/>
      <c r="P263" s="16"/>
      <c r="Q263" s="16"/>
      <c r="R263" s="16"/>
      <c r="S263" s="16"/>
      <c r="T263" s="16"/>
      <c r="U263" s="15"/>
      <c r="V263" s="16"/>
      <c r="W263" s="16"/>
      <c r="X263" s="16"/>
    </row>
    <row r="264" spans="3:24" x14ac:dyDescent="0.25">
      <c r="C264" s="16"/>
      <c r="D264" s="16"/>
      <c r="E264" s="16"/>
      <c r="F264" s="16"/>
      <c r="G264" s="15"/>
      <c r="H264" s="16"/>
      <c r="I264" s="16"/>
      <c r="J264" s="16"/>
      <c r="K264" s="16"/>
      <c r="L264" s="15"/>
      <c r="M264" s="16"/>
      <c r="N264" s="15"/>
      <c r="O264" s="16"/>
      <c r="P264" s="16"/>
      <c r="Q264" s="16"/>
      <c r="R264" s="16"/>
      <c r="S264" s="16"/>
      <c r="T264" s="16"/>
      <c r="U264" s="15"/>
      <c r="V264" s="16"/>
      <c r="W264" s="16"/>
      <c r="X264" s="16"/>
    </row>
    <row r="265" spans="3:24" x14ac:dyDescent="0.25">
      <c r="C265" s="16"/>
      <c r="D265" s="16"/>
      <c r="E265" s="16"/>
      <c r="F265" s="16"/>
      <c r="G265" s="15"/>
      <c r="H265" s="16"/>
      <c r="I265" s="16"/>
      <c r="J265" s="16"/>
      <c r="K265" s="16"/>
      <c r="L265" s="15"/>
      <c r="M265" s="16"/>
      <c r="N265" s="15"/>
      <c r="O265" s="16"/>
      <c r="P265" s="16"/>
      <c r="Q265" s="16"/>
      <c r="R265" s="16"/>
      <c r="S265" s="16"/>
      <c r="T265" s="16"/>
      <c r="U265" s="15"/>
      <c r="V265" s="16"/>
      <c r="W265" s="16"/>
      <c r="X265" s="16"/>
    </row>
    <row r="266" spans="3:24" x14ac:dyDescent="0.25">
      <c r="C266" s="16"/>
      <c r="D266" s="16"/>
      <c r="E266" s="16"/>
      <c r="F266" s="16"/>
      <c r="G266" s="15"/>
      <c r="H266" s="16"/>
      <c r="I266" s="16"/>
      <c r="J266" s="16"/>
      <c r="K266" s="16"/>
      <c r="L266" s="15"/>
      <c r="M266" s="16"/>
      <c r="N266" s="15"/>
      <c r="O266" s="16"/>
      <c r="P266" s="16"/>
      <c r="Q266" s="16"/>
      <c r="R266" s="16"/>
      <c r="S266" s="16"/>
      <c r="T266" s="16"/>
      <c r="U266" s="15"/>
      <c r="V266" s="16"/>
      <c r="W266" s="16"/>
      <c r="X266" s="16"/>
    </row>
    <row r="267" spans="3:24" x14ac:dyDescent="0.25">
      <c r="C267" s="16"/>
      <c r="D267" s="16"/>
      <c r="E267" s="16"/>
      <c r="F267" s="16"/>
      <c r="G267" s="15"/>
      <c r="H267" s="16"/>
      <c r="I267" s="16"/>
      <c r="J267" s="16"/>
      <c r="K267" s="16"/>
      <c r="L267" s="15"/>
      <c r="M267" s="16"/>
      <c r="N267" s="15"/>
      <c r="O267" s="16"/>
      <c r="P267" s="16"/>
      <c r="Q267" s="16"/>
      <c r="R267" s="16"/>
      <c r="S267" s="16"/>
      <c r="T267" s="16"/>
      <c r="U267" s="15"/>
      <c r="V267" s="16"/>
      <c r="W267" s="16"/>
      <c r="X267" s="16"/>
    </row>
    <row r="268" spans="3:24" x14ac:dyDescent="0.25">
      <c r="C268" s="16"/>
      <c r="D268" s="16"/>
      <c r="E268" s="16"/>
      <c r="F268" s="16"/>
      <c r="G268" s="15"/>
      <c r="H268" s="16"/>
      <c r="I268" s="16"/>
      <c r="J268" s="16"/>
      <c r="K268" s="16"/>
      <c r="L268" s="15"/>
      <c r="M268" s="16"/>
      <c r="N268" s="15"/>
      <c r="O268" s="16"/>
      <c r="P268" s="16"/>
      <c r="Q268" s="16"/>
      <c r="R268" s="16"/>
      <c r="S268" s="16"/>
      <c r="T268" s="16"/>
      <c r="U268" s="15"/>
      <c r="V268" s="16"/>
      <c r="W268" s="16"/>
      <c r="X268" s="16"/>
    </row>
    <row r="269" spans="3:24" x14ac:dyDescent="0.25">
      <c r="C269" s="16"/>
      <c r="D269" s="16"/>
      <c r="E269" s="16"/>
      <c r="F269" s="16"/>
      <c r="G269" s="15"/>
      <c r="H269" s="16"/>
      <c r="I269" s="16"/>
      <c r="J269" s="16"/>
      <c r="K269" s="16"/>
      <c r="L269" s="15"/>
      <c r="M269" s="16"/>
      <c r="N269" s="15"/>
      <c r="O269" s="16"/>
      <c r="P269" s="16"/>
      <c r="Q269" s="16"/>
      <c r="R269" s="16"/>
      <c r="S269" s="16"/>
      <c r="T269" s="16"/>
      <c r="U269" s="15"/>
      <c r="V269" s="16"/>
      <c r="W269" s="16"/>
      <c r="X269" s="16"/>
    </row>
    <row r="270" spans="3:24" x14ac:dyDescent="0.25">
      <c r="C270" s="16"/>
      <c r="D270" s="16"/>
      <c r="E270" s="16"/>
      <c r="F270" s="16"/>
      <c r="G270" s="15"/>
      <c r="H270" s="16"/>
      <c r="I270" s="16"/>
      <c r="J270" s="16"/>
      <c r="K270" s="16"/>
      <c r="L270" s="15"/>
      <c r="M270" s="16"/>
      <c r="N270" s="15"/>
      <c r="O270" s="16"/>
      <c r="P270" s="16"/>
      <c r="Q270" s="16"/>
      <c r="R270" s="16"/>
      <c r="S270" s="16"/>
      <c r="T270" s="16"/>
      <c r="U270" s="15"/>
      <c r="V270" s="16"/>
      <c r="W270" s="16"/>
      <c r="X270" s="16"/>
    </row>
    <row r="271" spans="3:24" x14ac:dyDescent="0.25">
      <c r="C271" s="16"/>
      <c r="D271" s="16"/>
      <c r="E271" s="16"/>
      <c r="F271" s="16"/>
      <c r="G271" s="15"/>
      <c r="H271" s="16"/>
      <c r="I271" s="16"/>
      <c r="J271" s="16"/>
      <c r="K271" s="16"/>
      <c r="L271" s="15"/>
      <c r="M271" s="16"/>
      <c r="N271" s="15"/>
      <c r="O271" s="16"/>
      <c r="P271" s="16"/>
      <c r="Q271" s="16"/>
      <c r="R271" s="16"/>
      <c r="S271" s="16"/>
      <c r="T271" s="16"/>
      <c r="U271" s="15"/>
      <c r="V271" s="16"/>
      <c r="W271" s="16"/>
      <c r="X271" s="16"/>
    </row>
    <row r="272" spans="3:24" x14ac:dyDescent="0.25">
      <c r="C272" s="16"/>
      <c r="D272" s="16"/>
      <c r="E272" s="16"/>
      <c r="F272" s="16"/>
      <c r="G272" s="15"/>
      <c r="H272" s="16"/>
      <c r="I272" s="16"/>
      <c r="J272" s="16"/>
      <c r="K272" s="16"/>
      <c r="L272" s="15"/>
      <c r="M272" s="16"/>
      <c r="N272" s="15"/>
      <c r="O272" s="16"/>
      <c r="P272" s="16"/>
      <c r="Q272" s="16"/>
      <c r="R272" s="16"/>
      <c r="S272" s="16"/>
      <c r="T272" s="16"/>
      <c r="U272" s="15"/>
      <c r="V272" s="16"/>
      <c r="W272" s="16"/>
      <c r="X272" s="16"/>
    </row>
  </sheetData>
  <pageMargins left="0.7" right="0.7" top="0.75" bottom="0.75" header="0.3" footer="0.3"/>
  <pageSetup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D30CD-FD96-4DB4-8AD8-EF3D4FB81CAB}">
  <dimension ref="A1:J184"/>
  <sheetViews>
    <sheetView topLeftCell="A166" workbookViewId="0">
      <selection activeCell="F2" sqref="F2:F184"/>
    </sheetView>
  </sheetViews>
  <sheetFormatPr defaultRowHeight="15" x14ac:dyDescent="0.25"/>
  <cols>
    <col min="3" max="3" width="21.42578125" customWidth="1"/>
    <col min="4" max="4" width="28.42578125" customWidth="1"/>
    <col min="5" max="5" width="16" style="26" customWidth="1"/>
    <col min="8" max="8" width="23.85546875" customWidth="1"/>
    <col min="9" max="9" width="29.5703125" customWidth="1"/>
    <col min="10" max="10" width="9.140625" style="26"/>
  </cols>
  <sheetData>
    <row r="1" spans="1:10" x14ac:dyDescent="0.25">
      <c r="A1" s="1" t="s">
        <v>0</v>
      </c>
      <c r="B1" s="1" t="s">
        <v>1</v>
      </c>
      <c r="C1" s="37" t="s">
        <v>42</v>
      </c>
      <c r="D1" s="37" t="s">
        <v>38</v>
      </c>
      <c r="E1" s="33" t="s">
        <v>39</v>
      </c>
      <c r="F1" t="s">
        <v>39</v>
      </c>
      <c r="H1" s="35" t="s">
        <v>108</v>
      </c>
      <c r="I1" s="35" t="s">
        <v>110</v>
      </c>
      <c r="J1" s="36" t="s">
        <v>111</v>
      </c>
    </row>
    <row r="2" spans="1:10" x14ac:dyDescent="0.25">
      <c r="A2" s="1" t="s">
        <v>2</v>
      </c>
      <c r="B2" s="12">
        <v>2021</v>
      </c>
      <c r="C2" s="3">
        <v>178048508091</v>
      </c>
      <c r="D2" s="3">
        <v>977129726928</v>
      </c>
      <c r="E2" s="15">
        <f t="shared" ref="E2:E63" si="0">C2/D2</f>
        <v>0.18221583397198143</v>
      </c>
      <c r="F2">
        <f>E2*100</f>
        <v>18.221583397198142</v>
      </c>
      <c r="H2" s="34">
        <v>178048508091</v>
      </c>
      <c r="I2" s="34">
        <v>306667450012</v>
      </c>
      <c r="J2" s="15">
        <f t="shared" ref="J2:J63" si="1">H2/I2</f>
        <v>0.58059147811100564</v>
      </c>
    </row>
    <row r="3" spans="1:10" x14ac:dyDescent="0.25">
      <c r="A3" s="1"/>
      <c r="B3" s="12">
        <v>2022</v>
      </c>
      <c r="C3" s="3">
        <v>374509110044</v>
      </c>
      <c r="D3" s="3">
        <v>1555132539181</v>
      </c>
      <c r="E3" s="15">
        <f t="shared" si="0"/>
        <v>0.24082134519623175</v>
      </c>
      <c r="F3">
        <f t="shared" ref="F3:F66" si="2">E3*100</f>
        <v>24.082134519623175</v>
      </c>
      <c r="H3" s="3">
        <v>374509110044</v>
      </c>
      <c r="I3" s="3">
        <v>681250806276</v>
      </c>
      <c r="J3" s="15">
        <f t="shared" si="1"/>
        <v>0.54973749255611515</v>
      </c>
    </row>
    <row r="4" spans="1:10" x14ac:dyDescent="0.25">
      <c r="A4" s="1"/>
      <c r="B4" s="12">
        <v>2023</v>
      </c>
      <c r="C4" s="3">
        <v>174691961974</v>
      </c>
      <c r="D4" s="3">
        <v>1551246449863</v>
      </c>
      <c r="E4" s="15">
        <f t="shared" si="0"/>
        <v>0.11261393184134481</v>
      </c>
      <c r="F4">
        <f t="shared" si="2"/>
        <v>11.261393184134482</v>
      </c>
      <c r="H4" s="3">
        <v>174691961974</v>
      </c>
      <c r="I4" s="3">
        <v>829170383219</v>
      </c>
      <c r="J4" s="15">
        <f t="shared" si="1"/>
        <v>0.21068282889677267</v>
      </c>
    </row>
    <row r="5" spans="1:10" x14ac:dyDescent="0.25">
      <c r="A5" s="1" t="s">
        <v>3</v>
      </c>
      <c r="B5" s="12">
        <v>2021</v>
      </c>
      <c r="C5" s="3">
        <v>568345150593</v>
      </c>
      <c r="D5" s="3">
        <v>4305752389646</v>
      </c>
      <c r="E5" s="15">
        <f t="shared" si="0"/>
        <v>0.13199671025200937</v>
      </c>
      <c r="F5">
        <f t="shared" si="2"/>
        <v>13.199671025200937</v>
      </c>
      <c r="H5" s="3">
        <v>568345150593</v>
      </c>
      <c r="I5" s="3">
        <v>3670508924274</v>
      </c>
      <c r="J5" s="15">
        <f t="shared" si="1"/>
        <v>0.15484096683007373</v>
      </c>
    </row>
    <row r="6" spans="1:10" x14ac:dyDescent="0.25">
      <c r="A6" s="1"/>
      <c r="B6" s="12">
        <v>2022</v>
      </c>
      <c r="C6" s="3">
        <v>744820930786</v>
      </c>
      <c r="D6" s="3">
        <v>5213814774459</v>
      </c>
      <c r="E6" s="15">
        <f t="shared" si="0"/>
        <v>0.14285527257981365</v>
      </c>
      <c r="F6">
        <f t="shared" si="2"/>
        <v>14.285527257981364</v>
      </c>
      <c r="H6" s="3">
        <v>744820930786</v>
      </c>
      <c r="I6" s="3">
        <v>4281097892263</v>
      </c>
      <c r="J6" s="15">
        <f t="shared" si="1"/>
        <v>0.17397895342035397</v>
      </c>
    </row>
    <row r="7" spans="1:10" x14ac:dyDescent="0.25">
      <c r="A7" s="1"/>
      <c r="B7" s="12">
        <v>2023</v>
      </c>
      <c r="C7" s="3">
        <v>718604782391</v>
      </c>
      <c r="D7" s="3">
        <v>6224306811480</v>
      </c>
      <c r="E7" s="15">
        <f t="shared" si="0"/>
        <v>0.11545137541510939</v>
      </c>
      <c r="F7">
        <f t="shared" si="2"/>
        <v>11.545137541510938</v>
      </c>
      <c r="H7" s="3">
        <v>718604782391</v>
      </c>
      <c r="I7" s="3">
        <v>5521398735114</v>
      </c>
      <c r="J7" s="15">
        <f t="shared" si="1"/>
        <v>0.13014904680238837</v>
      </c>
    </row>
    <row r="8" spans="1:10" x14ac:dyDescent="0.25">
      <c r="A8" s="1" t="s">
        <v>4</v>
      </c>
      <c r="B8" s="12">
        <v>2021</v>
      </c>
      <c r="C8" s="3">
        <v>104034299846</v>
      </c>
      <c r="D8" s="3">
        <v>809371584010</v>
      </c>
      <c r="E8" s="15">
        <f t="shared" si="0"/>
        <v>0.12853712917689317</v>
      </c>
      <c r="F8">
        <f t="shared" si="2"/>
        <v>12.853712917689316</v>
      </c>
      <c r="H8" s="3">
        <v>104034299846</v>
      </c>
      <c r="I8" s="3">
        <v>691468538398</v>
      </c>
      <c r="J8" s="15">
        <f t="shared" si="1"/>
        <v>0.15045413358506163</v>
      </c>
    </row>
    <row r="9" spans="1:10" x14ac:dyDescent="0.25">
      <c r="A9" s="1"/>
      <c r="B9" s="12">
        <v>2022</v>
      </c>
      <c r="C9" s="3">
        <v>102314374301</v>
      </c>
      <c r="D9" s="3">
        <v>863638556466</v>
      </c>
      <c r="E9" s="15">
        <f t="shared" si="0"/>
        <v>0.1184689747058878</v>
      </c>
      <c r="F9">
        <f t="shared" si="2"/>
        <v>11.846897470588779</v>
      </c>
      <c r="H9" s="3">
        <v>102314374301</v>
      </c>
      <c r="I9" s="3">
        <v>786929124418</v>
      </c>
      <c r="J9" s="15">
        <f t="shared" si="1"/>
        <v>0.13001726728143409</v>
      </c>
    </row>
    <row r="10" spans="1:10" x14ac:dyDescent="0.25">
      <c r="A10" s="1"/>
      <c r="B10" s="12">
        <v>2023</v>
      </c>
      <c r="C10" s="3">
        <v>56643469840</v>
      </c>
      <c r="D10" s="3">
        <v>908807798500</v>
      </c>
      <c r="E10" s="15">
        <f t="shared" si="0"/>
        <v>6.2327226871832349E-2</v>
      </c>
      <c r="F10">
        <f t="shared" si="2"/>
        <v>6.2327226871832346</v>
      </c>
      <c r="H10" s="3">
        <v>56643469840</v>
      </c>
      <c r="I10" s="3">
        <v>831836397880</v>
      </c>
      <c r="J10" s="15">
        <f t="shared" si="1"/>
        <v>6.8094483463768007E-2</v>
      </c>
    </row>
    <row r="11" spans="1:10" x14ac:dyDescent="0.25">
      <c r="A11" s="1" t="s">
        <v>5</v>
      </c>
      <c r="B11" s="12">
        <v>2021</v>
      </c>
      <c r="C11" s="3">
        <v>1788496000000</v>
      </c>
      <c r="D11" s="3">
        <v>26136114000000</v>
      </c>
      <c r="E11" s="15">
        <f t="shared" si="0"/>
        <v>6.8430065770297754E-2</v>
      </c>
      <c r="F11">
        <f t="shared" si="2"/>
        <v>6.8430065770297759</v>
      </c>
      <c r="H11" s="3">
        <v>1788496000000</v>
      </c>
      <c r="I11" s="3">
        <v>20620964000000</v>
      </c>
      <c r="J11" s="15">
        <f t="shared" si="1"/>
        <v>8.6731929700279778E-2</v>
      </c>
    </row>
    <row r="12" spans="1:10" x14ac:dyDescent="0.25">
      <c r="A12" s="1"/>
      <c r="B12" s="12">
        <v>2022</v>
      </c>
      <c r="C12" s="3">
        <v>1842434000000</v>
      </c>
      <c r="D12" s="3">
        <v>25706169000000</v>
      </c>
      <c r="E12" s="15">
        <f t="shared" si="0"/>
        <v>7.167283464136566E-2</v>
      </c>
      <c r="F12">
        <f t="shared" si="2"/>
        <v>7.1672834641365659</v>
      </c>
      <c r="H12" s="3">
        <v>1842434000000</v>
      </c>
      <c r="I12" s="3">
        <v>19566906000000</v>
      </c>
      <c r="J12" s="15">
        <f t="shared" si="1"/>
        <v>9.4160722190825677E-2</v>
      </c>
    </row>
    <row r="13" spans="1:10" x14ac:dyDescent="0.25">
      <c r="A13" s="1"/>
      <c r="B13" s="12">
        <v>2023</v>
      </c>
      <c r="C13" s="3">
        <v>1950266000000</v>
      </c>
      <c r="D13" s="3">
        <v>29649645000000</v>
      </c>
      <c r="E13" s="15">
        <f t="shared" si="0"/>
        <v>6.5777043873543842E-2</v>
      </c>
      <c r="F13">
        <f t="shared" si="2"/>
        <v>6.5777043873543839</v>
      </c>
      <c r="H13" s="3">
        <v>1950266000000</v>
      </c>
      <c r="I13" s="3">
        <v>20969511000000</v>
      </c>
      <c r="J13" s="15">
        <f t="shared" si="1"/>
        <v>9.300483926401526E-2</v>
      </c>
    </row>
    <row r="14" spans="1:10" x14ac:dyDescent="0.25">
      <c r="A14" s="1" t="s">
        <v>6</v>
      </c>
      <c r="B14" s="12">
        <v>2021</v>
      </c>
      <c r="C14" s="3">
        <v>486061000000</v>
      </c>
      <c r="D14" s="3">
        <v>7097322000000</v>
      </c>
      <c r="E14" s="15">
        <f t="shared" si="0"/>
        <v>6.8485127207135316E-2</v>
      </c>
      <c r="F14">
        <f t="shared" si="2"/>
        <v>6.8485127207135319</v>
      </c>
      <c r="H14" s="3">
        <v>486061000000</v>
      </c>
      <c r="I14" s="3">
        <v>3787113000000</v>
      </c>
      <c r="J14" s="15">
        <f t="shared" si="1"/>
        <v>0.12834605146453248</v>
      </c>
    </row>
    <row r="15" spans="1:10" x14ac:dyDescent="0.25">
      <c r="A15" s="1"/>
      <c r="B15" s="12">
        <v>2022</v>
      </c>
      <c r="C15" s="3">
        <v>305849000000</v>
      </c>
      <c r="D15" s="3">
        <v>7405931000000</v>
      </c>
      <c r="E15" s="15">
        <f t="shared" si="0"/>
        <v>4.1297846280231344E-2</v>
      </c>
      <c r="F15">
        <f t="shared" si="2"/>
        <v>4.1297846280231347</v>
      </c>
      <c r="H15" s="3">
        <v>305849000000</v>
      </c>
      <c r="I15" s="3">
        <v>4144535000000</v>
      </c>
      <c r="J15" s="15">
        <f t="shared" si="1"/>
        <v>7.3795733417621037E-2</v>
      </c>
    </row>
    <row r="16" spans="1:10" x14ac:dyDescent="0.25">
      <c r="A16" s="1"/>
      <c r="B16" s="12">
        <v>2023</v>
      </c>
      <c r="C16" s="3">
        <v>498059000000</v>
      </c>
      <c r="D16" s="3">
        <v>7971708000000</v>
      </c>
      <c r="E16" s="15">
        <f t="shared" si="0"/>
        <v>6.2478329612675229E-2</v>
      </c>
      <c r="F16">
        <f t="shared" si="2"/>
        <v>6.2478329612675232</v>
      </c>
      <c r="H16" s="3">
        <v>498059000000</v>
      </c>
      <c r="I16" s="3">
        <v>4618346000000</v>
      </c>
      <c r="J16" s="15">
        <f t="shared" si="1"/>
        <v>0.10784358729293994</v>
      </c>
    </row>
    <row r="17" spans="1:10" x14ac:dyDescent="0.25">
      <c r="A17" s="1" t="s">
        <v>7</v>
      </c>
      <c r="B17" s="12">
        <v>2021</v>
      </c>
      <c r="C17" s="3">
        <v>305732000000</v>
      </c>
      <c r="D17" s="3">
        <v>6217987000000</v>
      </c>
      <c r="E17" s="15">
        <f t="shared" si="0"/>
        <v>4.9168967384460596E-2</v>
      </c>
      <c r="F17">
        <f t="shared" si="2"/>
        <v>4.9168967384460593</v>
      </c>
      <c r="H17" s="3">
        <v>305732000000</v>
      </c>
      <c r="I17" s="3">
        <v>2737881000000</v>
      </c>
      <c r="J17" s="15">
        <f t="shared" si="1"/>
        <v>0.11166738072253689</v>
      </c>
    </row>
    <row r="18" spans="1:10" x14ac:dyDescent="0.25">
      <c r="A18" s="1"/>
      <c r="B18" s="12">
        <v>2022</v>
      </c>
      <c r="C18" s="3">
        <v>340580000000</v>
      </c>
      <c r="D18" s="3">
        <v>6094139000000</v>
      </c>
      <c r="E18" s="15">
        <f t="shared" si="0"/>
        <v>5.5886483718208591E-2</v>
      </c>
      <c r="F18">
        <f t="shared" si="2"/>
        <v>5.5886483718208595</v>
      </c>
      <c r="H18" s="3">
        <v>340580000000</v>
      </c>
      <c r="I18" s="3">
        <v>2986711000000</v>
      </c>
      <c r="J18" s="15">
        <f t="shared" si="1"/>
        <v>0.114031789483482</v>
      </c>
    </row>
    <row r="19" spans="1:10" x14ac:dyDescent="0.25">
      <c r="A19" s="1"/>
      <c r="B19" s="12">
        <v>2023</v>
      </c>
      <c r="C19" s="3">
        <v>167445000000</v>
      </c>
      <c r="D19" s="3">
        <v>5628540000000</v>
      </c>
      <c r="E19" s="15">
        <f t="shared" si="0"/>
        <v>2.9749277787845516E-2</v>
      </c>
      <c r="F19">
        <f t="shared" si="2"/>
        <v>2.9749277787845516</v>
      </c>
      <c r="H19" s="3">
        <v>167445000000</v>
      </c>
      <c r="I19" s="3">
        <v>2973060000000</v>
      </c>
      <c r="J19" s="15">
        <f t="shared" si="1"/>
        <v>5.6320760428649273E-2</v>
      </c>
    </row>
    <row r="20" spans="1:10" x14ac:dyDescent="0.25">
      <c r="A20" s="1" t="s">
        <v>8</v>
      </c>
      <c r="B20" s="12">
        <v>2021</v>
      </c>
      <c r="C20" s="3">
        <v>46705891000</v>
      </c>
      <c r="D20" s="3">
        <v>5271953697000</v>
      </c>
      <c r="E20" s="15">
        <f t="shared" si="0"/>
        <v>8.859313583610938E-3</v>
      </c>
      <c r="F20">
        <f t="shared" si="2"/>
        <v>0.88593135836109382</v>
      </c>
      <c r="H20" s="3">
        <v>46705891000</v>
      </c>
      <c r="I20" s="3">
        <v>3000166293000</v>
      </c>
      <c r="J20" s="15">
        <f t="shared" si="1"/>
        <v>1.5567767396418783E-2</v>
      </c>
    </row>
    <row r="21" spans="1:10" x14ac:dyDescent="0.25">
      <c r="A21" s="1"/>
      <c r="B21" s="12">
        <v>2022</v>
      </c>
      <c r="C21" s="3">
        <v>94827889000</v>
      </c>
      <c r="D21" s="3">
        <v>5211248525000</v>
      </c>
      <c r="E21" s="15">
        <f t="shared" si="0"/>
        <v>1.8196769650320986E-2</v>
      </c>
      <c r="F21">
        <f t="shared" si="2"/>
        <v>1.8196769650320985</v>
      </c>
      <c r="H21" s="3">
        <v>94827889000</v>
      </c>
      <c r="I21" s="3">
        <v>3086916334000</v>
      </c>
      <c r="J21" s="15">
        <f t="shared" si="1"/>
        <v>3.0719293540788267E-2</v>
      </c>
    </row>
    <row r="22" spans="1:10" x14ac:dyDescent="0.25">
      <c r="A22" s="1"/>
      <c r="B22" s="12">
        <v>2023</v>
      </c>
      <c r="C22" s="3">
        <v>121572505000</v>
      </c>
      <c r="D22" s="3">
        <v>4856730638000</v>
      </c>
      <c r="E22" s="15">
        <f t="shared" si="0"/>
        <v>2.5031757793770402E-2</v>
      </c>
      <c r="F22">
        <f t="shared" si="2"/>
        <v>2.5031757793770404</v>
      </c>
      <c r="H22" s="3">
        <v>121572505000</v>
      </c>
      <c r="I22" s="3">
        <v>3162412356000</v>
      </c>
      <c r="J22" s="15">
        <f t="shared" si="1"/>
        <v>3.8442964204001485E-2</v>
      </c>
    </row>
    <row r="23" spans="1:10" x14ac:dyDescent="0.25">
      <c r="A23" s="1" t="s">
        <v>9</v>
      </c>
      <c r="B23" s="12">
        <v>2021</v>
      </c>
      <c r="C23" s="3">
        <v>713344000000</v>
      </c>
      <c r="D23" s="3">
        <v>21491023000000</v>
      </c>
      <c r="E23" s="15">
        <f t="shared" si="0"/>
        <v>3.319264978684356E-2</v>
      </c>
      <c r="F23">
        <f t="shared" si="2"/>
        <v>3.3192649786843562</v>
      </c>
      <c r="H23" s="3">
        <v>713344000000</v>
      </c>
      <c r="I23" s="3">
        <v>11199072000000</v>
      </c>
      <c r="J23" s="15">
        <f t="shared" si="1"/>
        <v>6.369670629852188E-2</v>
      </c>
    </row>
    <row r="24" spans="1:10" x14ac:dyDescent="0.25">
      <c r="A24" s="1"/>
      <c r="B24" s="12">
        <v>2022</v>
      </c>
      <c r="C24" s="3">
        <v>839276000000</v>
      </c>
      <c r="D24" s="3">
        <v>21378510000000</v>
      </c>
      <c r="E24" s="15">
        <f t="shared" si="0"/>
        <v>3.9257927704035502E-2</v>
      </c>
      <c r="F24">
        <f t="shared" si="2"/>
        <v>3.9257927704035502</v>
      </c>
      <c r="H24" s="3">
        <v>839276000000</v>
      </c>
      <c r="I24" s="3">
        <v>11860038000000</v>
      </c>
      <c r="J24" s="15">
        <f t="shared" si="1"/>
        <v>7.0765034648286956E-2</v>
      </c>
    </row>
    <row r="25" spans="1:10" x14ac:dyDescent="0.25">
      <c r="A25" s="1"/>
      <c r="B25" s="12">
        <v>2023</v>
      </c>
      <c r="C25" s="3">
        <v>894645000000</v>
      </c>
      <c r="D25" s="3">
        <v>22206739000000</v>
      </c>
      <c r="E25" s="15">
        <f t="shared" si="0"/>
        <v>4.0287094831888644E-2</v>
      </c>
      <c r="F25">
        <f t="shared" si="2"/>
        <v>4.0287094831888641</v>
      </c>
      <c r="H25" s="3">
        <v>894645000000</v>
      </c>
      <c r="I25" s="3">
        <v>12504614000000</v>
      </c>
      <c r="J25" s="15">
        <f t="shared" si="1"/>
        <v>7.1545191239009862E-2</v>
      </c>
    </row>
    <row r="26" spans="1:10" x14ac:dyDescent="0.25">
      <c r="A26" s="1" t="s">
        <v>10</v>
      </c>
      <c r="B26" s="12">
        <v>2021</v>
      </c>
      <c r="C26" s="3">
        <v>2117236000000</v>
      </c>
      <c r="D26" s="3">
        <v>81766327000000</v>
      </c>
      <c r="E26" s="15">
        <f t="shared" si="0"/>
        <v>2.5893739852103179E-2</v>
      </c>
      <c r="F26">
        <f t="shared" si="2"/>
        <v>2.5893739852103179</v>
      </c>
      <c r="H26" s="3">
        <v>2117236000000</v>
      </c>
      <c r="I26" s="3">
        <v>42875012000000</v>
      </c>
      <c r="J26" s="15">
        <f t="shared" si="1"/>
        <v>4.9381583846553792E-2</v>
      </c>
    </row>
    <row r="27" spans="1:10" x14ac:dyDescent="0.25">
      <c r="A27" s="1"/>
      <c r="B27" s="12">
        <v>2022</v>
      </c>
      <c r="C27" s="3">
        <v>2499083000000</v>
      </c>
      <c r="D27" s="3">
        <v>82960012000000</v>
      </c>
      <c r="E27" s="15">
        <f t="shared" si="0"/>
        <v>3.0123946944462833E-2</v>
      </c>
      <c r="F27">
        <f t="shared" si="2"/>
        <v>3.0123946944462832</v>
      </c>
      <c r="H27" s="3">
        <v>2499083000000</v>
      </c>
      <c r="I27" s="3">
        <v>47239360000000</v>
      </c>
      <c r="J27" s="15">
        <f t="shared" si="1"/>
        <v>5.2902558375049959E-2</v>
      </c>
    </row>
    <row r="28" spans="1:10" x14ac:dyDescent="0.25">
      <c r="A28" s="1"/>
      <c r="B28" s="12">
        <v>2023</v>
      </c>
      <c r="C28" s="3">
        <v>2295601000000</v>
      </c>
      <c r="D28" s="3">
        <v>81820529000000</v>
      </c>
      <c r="E28" s="15">
        <f t="shared" si="0"/>
        <v>2.8056540675751435E-2</v>
      </c>
      <c r="F28">
        <f t="shared" si="2"/>
        <v>2.8056540675751434</v>
      </c>
      <c r="H28" s="3">
        <v>2295601000000</v>
      </c>
      <c r="I28" s="3">
        <v>47800976000000</v>
      </c>
      <c r="J28" s="15">
        <f t="shared" si="1"/>
        <v>4.8024144946329131E-2</v>
      </c>
    </row>
    <row r="29" spans="1:10" x14ac:dyDescent="0.25">
      <c r="A29" s="1" t="s">
        <v>11</v>
      </c>
      <c r="B29" s="12">
        <v>2021</v>
      </c>
      <c r="C29" s="3">
        <v>294325560054</v>
      </c>
      <c r="D29" s="3">
        <v>2746153295147</v>
      </c>
      <c r="E29" s="15">
        <f t="shared" si="0"/>
        <v>0.10717739631437614</v>
      </c>
      <c r="F29">
        <f t="shared" si="2"/>
        <v>10.717739631437615</v>
      </c>
      <c r="H29" s="3">
        <v>294325560054</v>
      </c>
      <c r="I29" s="3">
        <v>1815473344846</v>
      </c>
      <c r="J29" s="15">
        <f t="shared" si="1"/>
        <v>0.16212056260124633</v>
      </c>
    </row>
    <row r="30" spans="1:10" x14ac:dyDescent="0.25">
      <c r="A30" s="1"/>
      <c r="B30" s="12">
        <v>2022</v>
      </c>
      <c r="C30" s="3">
        <v>336138349494</v>
      </c>
      <c r="D30" s="3">
        <v>3239231499990</v>
      </c>
      <c r="E30" s="15">
        <f t="shared" si="0"/>
        <v>0.10377101775375971</v>
      </c>
      <c r="F30">
        <f t="shared" si="2"/>
        <v>10.377101775375971</v>
      </c>
      <c r="H30" s="3">
        <v>336138349494</v>
      </c>
      <c r="I30" s="3">
        <v>2146288274787</v>
      </c>
      <c r="J30" s="15">
        <f t="shared" si="1"/>
        <v>0.15661379388906121</v>
      </c>
    </row>
    <row r="31" spans="1:10" x14ac:dyDescent="0.25">
      <c r="A31" s="1"/>
      <c r="B31" s="12">
        <v>2023</v>
      </c>
      <c r="C31" s="3">
        <v>178658341906</v>
      </c>
      <c r="D31" s="3">
        <v>3303922519911</v>
      </c>
      <c r="E31" s="15">
        <f t="shared" si="0"/>
        <v>5.4074616105347605E-2</v>
      </c>
      <c r="F31">
        <f t="shared" si="2"/>
        <v>5.4074616105347602</v>
      </c>
      <c r="H31" s="3">
        <v>178658341906</v>
      </c>
      <c r="I31" s="3">
        <v>2319418975917</v>
      </c>
      <c r="J31" s="15">
        <f t="shared" si="1"/>
        <v>7.7027196794130767E-2</v>
      </c>
    </row>
    <row r="32" spans="1:10" x14ac:dyDescent="0.25">
      <c r="A32" s="1" t="s">
        <v>12</v>
      </c>
      <c r="B32" s="12">
        <v>2021</v>
      </c>
      <c r="C32" s="3">
        <v>81433957569</v>
      </c>
      <c r="D32" s="3">
        <v>9082511044439</v>
      </c>
      <c r="E32" s="15">
        <f t="shared" si="0"/>
        <v>8.9660180065357607E-3</v>
      </c>
      <c r="F32">
        <f t="shared" si="2"/>
        <v>0.89660180065357609</v>
      </c>
      <c r="H32" s="3">
        <v>81433957569</v>
      </c>
      <c r="I32" s="3">
        <v>3484810937660</v>
      </c>
      <c r="J32" s="15">
        <f t="shared" si="1"/>
        <v>2.3368256994648243E-2</v>
      </c>
    </row>
    <row r="33" spans="1:10" x14ac:dyDescent="0.25">
      <c r="A33" s="1"/>
      <c r="B33" s="12">
        <v>2022</v>
      </c>
      <c r="C33" s="3">
        <v>171060047099</v>
      </c>
      <c r="D33" s="3">
        <v>9447528704261</v>
      </c>
      <c r="E33" s="15">
        <f t="shared" si="0"/>
        <v>1.8106327321540598E-2</v>
      </c>
      <c r="F33">
        <f t="shared" si="2"/>
        <v>1.8106327321540598</v>
      </c>
      <c r="H33" s="3">
        <v>171060047099</v>
      </c>
      <c r="I33" s="3">
        <v>3637820526411</v>
      </c>
      <c r="J33" s="15">
        <f t="shared" si="1"/>
        <v>4.7022673564318024E-2</v>
      </c>
    </row>
    <row r="34" spans="1:10" x14ac:dyDescent="0.25">
      <c r="A34" s="1"/>
      <c r="B34" s="12">
        <v>2023</v>
      </c>
      <c r="C34" s="3">
        <v>19816764969</v>
      </c>
      <c r="D34" s="3">
        <v>7631670664176</v>
      </c>
      <c r="E34" s="15">
        <f t="shared" si="0"/>
        <v>2.5966483409749757E-3</v>
      </c>
      <c r="F34">
        <f t="shared" si="2"/>
        <v>0.25966483409749758</v>
      </c>
      <c r="H34" s="3">
        <v>19816764969</v>
      </c>
      <c r="I34" s="3">
        <v>3626109986520</v>
      </c>
      <c r="J34" s="15">
        <f t="shared" si="1"/>
        <v>5.4650203779445395E-3</v>
      </c>
    </row>
    <row r="35" spans="1:10" x14ac:dyDescent="0.25">
      <c r="A35" s="1" t="s">
        <v>13</v>
      </c>
      <c r="B35" s="12">
        <v>2021</v>
      </c>
      <c r="C35" s="3">
        <v>416209347000</v>
      </c>
      <c r="D35" s="3">
        <v>2795959663000</v>
      </c>
      <c r="E35" s="15">
        <f t="shared" si="0"/>
        <v>0.14886099842850273</v>
      </c>
      <c r="F35">
        <f t="shared" si="2"/>
        <v>14.886099842850273</v>
      </c>
      <c r="H35" s="3">
        <v>416209347000</v>
      </c>
      <c r="I35" s="3">
        <v>2295611941000</v>
      </c>
      <c r="J35" s="15">
        <f t="shared" si="1"/>
        <v>0.18130649155740736</v>
      </c>
    </row>
    <row r="36" spans="1:10" x14ac:dyDescent="0.25">
      <c r="A36" s="1"/>
      <c r="B36" s="12">
        <v>2022</v>
      </c>
      <c r="C36" s="3">
        <v>354901190000</v>
      </c>
      <c r="D36" s="3">
        <v>3040363137000</v>
      </c>
      <c r="E36" s="15">
        <f t="shared" si="0"/>
        <v>0.11672986877159339</v>
      </c>
      <c r="F36">
        <f t="shared" si="2"/>
        <v>11.672986877159339</v>
      </c>
      <c r="H36" s="3">
        <v>354901190000</v>
      </c>
      <c r="I36" s="3">
        <v>2446027106000</v>
      </c>
      <c r="J36" s="15">
        <f t="shared" si="1"/>
        <v>0.14509290969402691</v>
      </c>
    </row>
    <row r="37" spans="1:10" x14ac:dyDescent="0.25">
      <c r="A37" s="1"/>
      <c r="B37" s="12">
        <v>2023</v>
      </c>
      <c r="C37" s="3">
        <v>375985161000</v>
      </c>
      <c r="D37" s="3">
        <v>3196352644000</v>
      </c>
      <c r="E37" s="15">
        <f t="shared" si="0"/>
        <v>0.11762943669741091</v>
      </c>
      <c r="F37">
        <f t="shared" si="2"/>
        <v>11.762943669741091</v>
      </c>
      <c r="H37" s="3">
        <v>375985161000</v>
      </c>
      <c r="I37" s="3">
        <v>2630524565000</v>
      </c>
      <c r="J37" s="15">
        <f t="shared" si="1"/>
        <v>0.14293162892398231</v>
      </c>
    </row>
    <row r="38" spans="1:10" x14ac:dyDescent="0.25">
      <c r="A38" s="1" t="s">
        <v>14</v>
      </c>
      <c r="B38" s="12">
        <v>2021</v>
      </c>
      <c r="C38" s="3">
        <v>159076942627</v>
      </c>
      <c r="D38" s="3">
        <v>1008502142233</v>
      </c>
      <c r="E38" s="15">
        <f t="shared" si="0"/>
        <v>0.15773584999509851</v>
      </c>
      <c r="F38">
        <f t="shared" si="2"/>
        <v>15.773584999509852</v>
      </c>
      <c r="H38" s="3">
        <v>159076942627</v>
      </c>
      <c r="I38" s="3">
        <v>637696066531</v>
      </c>
      <c r="J38" s="15">
        <f t="shared" si="1"/>
        <v>0.24945573757787459</v>
      </c>
    </row>
    <row r="39" spans="1:10" x14ac:dyDescent="0.25">
      <c r="A39" s="1"/>
      <c r="B39" s="12">
        <v>2022</v>
      </c>
      <c r="C39" s="3">
        <v>197694385018</v>
      </c>
      <c r="D39" s="3">
        <v>1091201798908</v>
      </c>
      <c r="E39" s="15">
        <f t="shared" si="0"/>
        <v>0.18117124185080982</v>
      </c>
      <c r="F39">
        <f t="shared" si="2"/>
        <v>18.117124185080982</v>
      </c>
      <c r="H39" s="3">
        <v>197694385018</v>
      </c>
      <c r="I39" s="3">
        <v>777998198491</v>
      </c>
      <c r="J39" s="15">
        <f t="shared" si="1"/>
        <v>0.25410648173922085</v>
      </c>
    </row>
    <row r="40" spans="1:10" x14ac:dyDescent="0.25">
      <c r="A40" s="1"/>
      <c r="B40" s="12">
        <v>2023</v>
      </c>
      <c r="C40" s="3">
        <v>220358607610</v>
      </c>
      <c r="D40" s="3">
        <v>1072483806616</v>
      </c>
      <c r="E40" s="15">
        <f t="shared" si="0"/>
        <v>0.20546567346811123</v>
      </c>
      <c r="F40">
        <f t="shared" si="2"/>
        <v>20.546567346811123</v>
      </c>
      <c r="H40" s="3">
        <v>220358607610</v>
      </c>
      <c r="I40" s="3">
        <v>785885059426</v>
      </c>
      <c r="J40" s="15">
        <f t="shared" si="1"/>
        <v>0.28039546619062461</v>
      </c>
    </row>
    <row r="41" spans="1:10" x14ac:dyDescent="0.25">
      <c r="A41" s="1" t="s">
        <v>15</v>
      </c>
      <c r="B41" s="12">
        <v>2021</v>
      </c>
      <c r="C41" s="3">
        <v>171146039488</v>
      </c>
      <c r="D41" s="3">
        <v>1763123879245</v>
      </c>
      <c r="E41" s="15">
        <f t="shared" si="0"/>
        <v>9.7069775699077751E-2</v>
      </c>
      <c r="F41">
        <f t="shared" si="2"/>
        <v>9.7069775699077745</v>
      </c>
      <c r="H41" s="3">
        <v>171146039488</v>
      </c>
      <c r="I41" s="3">
        <v>862210927756</v>
      </c>
      <c r="J41" s="15">
        <f t="shared" si="1"/>
        <v>0.19849671812143072</v>
      </c>
    </row>
    <row r="42" spans="1:10" x14ac:dyDescent="0.25">
      <c r="A42" s="1"/>
      <c r="B42" s="12">
        <v>2022</v>
      </c>
      <c r="C42" s="3">
        <v>345992311458</v>
      </c>
      <c r="D42" s="3">
        <v>3097781579099</v>
      </c>
      <c r="E42" s="15">
        <f t="shared" si="0"/>
        <v>0.11169035086025432</v>
      </c>
      <c r="F42">
        <f t="shared" si="2"/>
        <v>11.169035086025431</v>
      </c>
      <c r="H42" s="3">
        <v>345992311458</v>
      </c>
      <c r="I42" s="3">
        <v>1120320170051</v>
      </c>
      <c r="J42" s="15">
        <f t="shared" si="1"/>
        <v>0.30883342164789329</v>
      </c>
    </row>
    <row r="43" spans="1:10" x14ac:dyDescent="0.25">
      <c r="A43" s="1"/>
      <c r="B43" s="12">
        <v>2023</v>
      </c>
      <c r="C43" s="3">
        <v>420077400658</v>
      </c>
      <c r="D43" s="3">
        <v>2793664505857</v>
      </c>
      <c r="E43" s="15">
        <f t="shared" si="0"/>
        <v>0.15036787695061285</v>
      </c>
      <c r="F43">
        <f t="shared" si="2"/>
        <v>15.036787695061285</v>
      </c>
      <c r="H43" s="3">
        <v>420077400658</v>
      </c>
      <c r="I43" s="3">
        <v>1380076795346</v>
      </c>
      <c r="J43" s="15">
        <f t="shared" si="1"/>
        <v>0.30438697474996823</v>
      </c>
    </row>
    <row r="44" spans="1:10" x14ac:dyDescent="0.25">
      <c r="A44" s="1" t="s">
        <v>16</v>
      </c>
      <c r="B44" s="12">
        <v>2021</v>
      </c>
      <c r="C44" s="3">
        <v>110071266039</v>
      </c>
      <c r="D44" s="3">
        <v>728297403603</v>
      </c>
      <c r="E44" s="15">
        <f t="shared" si="0"/>
        <v>0.1511350521016008</v>
      </c>
      <c r="F44">
        <f t="shared" si="2"/>
        <v>15.11350521016008</v>
      </c>
      <c r="H44" s="3">
        <v>110071266039</v>
      </c>
      <c r="I44" s="3">
        <v>681847001891</v>
      </c>
      <c r="J44" s="15">
        <f t="shared" si="1"/>
        <v>0.16143103325780406</v>
      </c>
    </row>
    <row r="45" spans="1:10" x14ac:dyDescent="0.25">
      <c r="A45" s="1"/>
      <c r="B45" s="12">
        <v>2022</v>
      </c>
      <c r="C45" s="3">
        <v>122919207172</v>
      </c>
      <c r="D45" s="3">
        <v>816796722522</v>
      </c>
      <c r="E45" s="15">
        <f t="shared" si="0"/>
        <v>0.15048934916446025</v>
      </c>
      <c r="F45">
        <f t="shared" si="2"/>
        <v>15.048934916446024</v>
      </c>
      <c r="H45" s="3">
        <v>122919207172</v>
      </c>
      <c r="I45" s="3">
        <v>771794613685</v>
      </c>
      <c r="J45" s="15">
        <f t="shared" si="1"/>
        <v>0.15926414228924407</v>
      </c>
    </row>
    <row r="46" spans="1:10" x14ac:dyDescent="0.25">
      <c r="A46" s="1"/>
      <c r="B46" s="12">
        <v>2023</v>
      </c>
      <c r="C46" s="3">
        <v>43816428957</v>
      </c>
      <c r="D46" s="3">
        <v>900366532407</v>
      </c>
      <c r="E46" s="15">
        <f t="shared" si="0"/>
        <v>4.8665101800111452E-2</v>
      </c>
      <c r="F46">
        <f t="shared" si="2"/>
        <v>4.8665101800111454</v>
      </c>
      <c r="H46" s="3">
        <v>43816428957</v>
      </c>
      <c r="I46" s="3">
        <v>815627984652</v>
      </c>
      <c r="J46" s="15">
        <f t="shared" si="1"/>
        <v>5.3721095623876787E-2</v>
      </c>
    </row>
    <row r="47" spans="1:10" x14ac:dyDescent="0.25">
      <c r="A47" s="1" t="s">
        <v>17</v>
      </c>
      <c r="B47" s="12">
        <v>2021</v>
      </c>
      <c r="C47" s="3">
        <v>1434551000000</v>
      </c>
      <c r="D47" s="3">
        <v>10873760000000</v>
      </c>
      <c r="E47" s="15">
        <f t="shared" si="0"/>
        <v>0.13192777843174763</v>
      </c>
      <c r="F47">
        <f t="shared" si="2"/>
        <v>13.192777843174763</v>
      </c>
      <c r="H47" s="3">
        <v>1434551000000</v>
      </c>
      <c r="I47" s="3">
        <v>9415620000000</v>
      </c>
      <c r="J47" s="15">
        <f t="shared" si="1"/>
        <v>0.1523586338446114</v>
      </c>
    </row>
    <row r="48" spans="1:10" x14ac:dyDescent="0.25">
      <c r="A48" s="1"/>
      <c r="B48" s="12">
        <v>2022</v>
      </c>
      <c r="C48" s="3">
        <v>1400365000000</v>
      </c>
      <c r="D48" s="3">
        <v>10792122000000</v>
      </c>
      <c r="E48" s="15">
        <f t="shared" si="0"/>
        <v>0.1297580772344864</v>
      </c>
      <c r="F48">
        <f t="shared" si="2"/>
        <v>12.975807723448639</v>
      </c>
      <c r="H48" s="3">
        <v>1400365000000</v>
      </c>
      <c r="I48" s="3">
        <v>9574885000000</v>
      </c>
      <c r="J48" s="15">
        <f t="shared" si="1"/>
        <v>0.14625397589631625</v>
      </c>
    </row>
    <row r="49" spans="1:10" x14ac:dyDescent="0.25">
      <c r="A49" s="1"/>
      <c r="B49" s="12">
        <v>2023</v>
      </c>
      <c r="C49" s="3">
        <v>1643096000000</v>
      </c>
      <c r="D49" s="3">
        <v>11166987000000</v>
      </c>
      <c r="E49" s="15">
        <f t="shared" si="0"/>
        <v>0.14713870446880614</v>
      </c>
      <c r="F49">
        <f t="shared" si="2"/>
        <v>14.713870446880614</v>
      </c>
      <c r="H49" s="3">
        <v>1643096000000</v>
      </c>
      <c r="I49" s="3">
        <v>9921489000000</v>
      </c>
      <c r="J49" s="15">
        <f t="shared" si="1"/>
        <v>0.16560981925192883</v>
      </c>
    </row>
    <row r="50" spans="1:10" x14ac:dyDescent="0.25">
      <c r="A50" s="2" t="s">
        <v>18</v>
      </c>
      <c r="B50" s="12">
        <v>2021</v>
      </c>
      <c r="C50" s="3">
        <v>2067362000000</v>
      </c>
      <c r="D50" s="3">
        <v>30399906000000</v>
      </c>
      <c r="E50" s="15">
        <f t="shared" si="0"/>
        <v>6.8005539227654191E-2</v>
      </c>
      <c r="F50">
        <f t="shared" si="2"/>
        <v>6.8005539227654195</v>
      </c>
      <c r="H50" s="3">
        <v>2067362000000</v>
      </c>
      <c r="I50" s="3">
        <v>21171173000000</v>
      </c>
      <c r="J50" s="15">
        <f t="shared" si="1"/>
        <v>9.7649856245565603E-2</v>
      </c>
    </row>
    <row r="51" spans="1:10" x14ac:dyDescent="0.25">
      <c r="A51" s="2"/>
      <c r="B51" s="12">
        <v>2022</v>
      </c>
      <c r="C51" s="3">
        <v>1792050000000</v>
      </c>
      <c r="D51" s="3">
        <v>29249340000000</v>
      </c>
      <c r="E51" s="15">
        <f t="shared" si="0"/>
        <v>6.1268049125211027E-2</v>
      </c>
      <c r="F51">
        <f t="shared" si="2"/>
        <v>6.126804912521103</v>
      </c>
      <c r="H51" s="3">
        <v>1792050000000</v>
      </c>
      <c r="I51" s="3">
        <v>22243221000000</v>
      </c>
      <c r="J51" s="15">
        <f t="shared" si="1"/>
        <v>8.0566119448257964E-2</v>
      </c>
    </row>
    <row r="52" spans="1:10" x14ac:dyDescent="0.25">
      <c r="A52" s="2"/>
      <c r="B52" s="12">
        <v>2023</v>
      </c>
      <c r="C52" s="3">
        <v>1088170000000</v>
      </c>
      <c r="D52" s="3">
        <v>28846243000000</v>
      </c>
      <c r="E52" s="15">
        <f t="shared" si="0"/>
        <v>3.772311007710779E-2</v>
      </c>
      <c r="F52">
        <f t="shared" si="2"/>
        <v>3.7723110077107789</v>
      </c>
      <c r="H52" s="3">
        <v>1088170000000</v>
      </c>
      <c r="I52" s="3">
        <v>22566006000000</v>
      </c>
      <c r="J52" s="15">
        <f t="shared" si="1"/>
        <v>4.8221648084291038E-2</v>
      </c>
    </row>
    <row r="53" spans="1:10" x14ac:dyDescent="0.25">
      <c r="A53" s="2" t="s">
        <v>19</v>
      </c>
      <c r="B53" s="12">
        <v>2021</v>
      </c>
      <c r="C53" s="3">
        <v>265758000000</v>
      </c>
      <c r="D53" s="3">
        <v>1304108000000</v>
      </c>
      <c r="E53" s="15">
        <f t="shared" si="0"/>
        <v>0.2037852693181853</v>
      </c>
      <c r="F53">
        <f t="shared" si="2"/>
        <v>20.378526931818531</v>
      </c>
      <c r="H53" s="3">
        <v>265758000000</v>
      </c>
      <c r="I53" s="3">
        <v>969817000000</v>
      </c>
      <c r="J53" s="15">
        <f t="shared" si="1"/>
        <v>0.27402901784563477</v>
      </c>
    </row>
    <row r="54" spans="1:10" x14ac:dyDescent="0.25">
      <c r="A54" s="2"/>
      <c r="B54" s="12">
        <v>2022</v>
      </c>
      <c r="C54" s="3">
        <v>364972000000</v>
      </c>
      <c r="D54" s="3">
        <v>1645582000000</v>
      </c>
      <c r="E54" s="15">
        <f t="shared" si="0"/>
        <v>0.22178900838730614</v>
      </c>
      <c r="F54">
        <f t="shared" si="2"/>
        <v>22.178900838730613</v>
      </c>
      <c r="H54" s="3">
        <v>364972000000</v>
      </c>
      <c r="I54" s="3">
        <v>1334836000000</v>
      </c>
      <c r="J54" s="15">
        <f t="shared" si="1"/>
        <v>0.27342085469675675</v>
      </c>
    </row>
    <row r="55" spans="1:10" x14ac:dyDescent="0.25">
      <c r="A55" s="2"/>
      <c r="B55" s="12">
        <v>2023</v>
      </c>
      <c r="C55" s="3">
        <v>395798000000</v>
      </c>
      <c r="D55" s="3">
        <v>2085182000000</v>
      </c>
      <c r="E55" s="15">
        <f t="shared" si="0"/>
        <v>0.18981460611112125</v>
      </c>
      <c r="F55">
        <f t="shared" si="2"/>
        <v>18.981460611112126</v>
      </c>
      <c r="H55" s="3">
        <v>395798000000</v>
      </c>
      <c r="I55" s="3">
        <v>1729808000000</v>
      </c>
      <c r="J55" s="15">
        <f t="shared" si="1"/>
        <v>0.2288103650809801</v>
      </c>
    </row>
    <row r="56" spans="1:10" x14ac:dyDescent="0.25">
      <c r="A56" s="2" t="s">
        <v>20</v>
      </c>
      <c r="B56" s="12">
        <v>2021</v>
      </c>
      <c r="C56" s="3">
        <v>380992000000</v>
      </c>
      <c r="D56" s="3">
        <v>3132202000000</v>
      </c>
      <c r="E56" s="15">
        <f t="shared" si="0"/>
        <v>0.1216371102502329</v>
      </c>
      <c r="F56">
        <f t="shared" si="2"/>
        <v>12.163711025023289</v>
      </c>
      <c r="H56" s="3">
        <v>380992000000</v>
      </c>
      <c r="I56" s="3">
        <v>2728045000000</v>
      </c>
      <c r="J56" s="15">
        <f t="shared" si="1"/>
        <v>0.13965752031216494</v>
      </c>
    </row>
    <row r="57" spans="1:10" x14ac:dyDescent="0.25">
      <c r="A57" s="2"/>
      <c r="B57" s="12">
        <v>2022</v>
      </c>
      <c r="C57" s="3">
        <v>523242000000</v>
      </c>
      <c r="D57" s="3">
        <v>3410481000000</v>
      </c>
      <c r="E57" s="15">
        <f t="shared" si="0"/>
        <v>0.1534217607428395</v>
      </c>
      <c r="F57">
        <f t="shared" si="2"/>
        <v>15.34217607428395</v>
      </c>
      <c r="H57" s="3">
        <v>523242000000</v>
      </c>
      <c r="I57" s="3">
        <v>3050250000000</v>
      </c>
      <c r="J57" s="15">
        <f t="shared" si="1"/>
        <v>0.17154069338578806</v>
      </c>
    </row>
    <row r="58" spans="1:10" x14ac:dyDescent="0.25">
      <c r="A58" s="2"/>
      <c r="B58" s="12">
        <v>2023</v>
      </c>
      <c r="C58" s="3">
        <v>595740000000</v>
      </c>
      <c r="D58" s="3">
        <v>3901820000000</v>
      </c>
      <c r="E58" s="15">
        <f t="shared" si="0"/>
        <v>0.15268259427651712</v>
      </c>
      <c r="F58">
        <f t="shared" si="2"/>
        <v>15.268259427651712</v>
      </c>
      <c r="H58" s="3">
        <v>595740000000</v>
      </c>
      <c r="I58" s="3">
        <v>3446696000000</v>
      </c>
      <c r="J58" s="15">
        <f t="shared" si="1"/>
        <v>0.17284379011087719</v>
      </c>
    </row>
    <row r="59" spans="1:10" x14ac:dyDescent="0.25">
      <c r="A59" s="2" t="s">
        <v>21</v>
      </c>
      <c r="B59" s="12">
        <v>2021</v>
      </c>
      <c r="C59" s="3">
        <v>187066990085</v>
      </c>
      <c r="D59" s="3">
        <v>1697387196209</v>
      </c>
      <c r="E59" s="15">
        <f t="shared" si="0"/>
        <v>0.11020879060641056</v>
      </c>
      <c r="F59">
        <f t="shared" si="2"/>
        <v>11.020879060641056</v>
      </c>
      <c r="H59" s="3">
        <v>187066990085</v>
      </c>
      <c r="I59" s="3">
        <v>1387366962835</v>
      </c>
      <c r="J59" s="15">
        <f t="shared" si="1"/>
        <v>0.13483598434745772</v>
      </c>
    </row>
    <row r="60" spans="1:10" x14ac:dyDescent="0.25">
      <c r="A60" s="2"/>
      <c r="B60" s="12">
        <v>2022</v>
      </c>
      <c r="C60" s="3">
        <v>220704543072</v>
      </c>
      <c r="D60" s="3">
        <v>1718287453575</v>
      </c>
      <c r="E60" s="15">
        <f t="shared" si="0"/>
        <v>0.12844448268117828</v>
      </c>
      <c r="F60">
        <f t="shared" si="2"/>
        <v>12.844448268117828</v>
      </c>
      <c r="H60" s="3">
        <v>220704543072</v>
      </c>
      <c r="I60" s="3">
        <v>1550042869748</v>
      </c>
      <c r="J60" s="15">
        <f t="shared" si="1"/>
        <v>0.14238608968788152</v>
      </c>
    </row>
    <row r="61" spans="1:10" x14ac:dyDescent="0.25">
      <c r="A61" s="2"/>
      <c r="B61" s="12">
        <v>2023</v>
      </c>
      <c r="C61" s="3">
        <v>153574779624</v>
      </c>
      <c r="D61" s="3">
        <v>1893560797758</v>
      </c>
      <c r="E61" s="15">
        <f t="shared" si="0"/>
        <v>8.1103696171696466E-2</v>
      </c>
      <c r="F61">
        <f t="shared" si="2"/>
        <v>8.1103696171696473</v>
      </c>
      <c r="H61" s="3">
        <v>153574779624</v>
      </c>
      <c r="I61" s="3">
        <v>1642285662293</v>
      </c>
      <c r="J61" s="15">
        <f t="shared" si="1"/>
        <v>9.3512829801835493E-2</v>
      </c>
    </row>
    <row r="62" spans="1:10" x14ac:dyDescent="0.25">
      <c r="A62" s="2" t="s">
        <v>22</v>
      </c>
      <c r="B62" s="12">
        <v>2021</v>
      </c>
      <c r="C62" s="3">
        <v>3619010000000</v>
      </c>
      <c r="D62" s="3">
        <v>35446051000000</v>
      </c>
      <c r="E62" s="15">
        <f t="shared" si="0"/>
        <v>0.10209910266167591</v>
      </c>
      <c r="F62">
        <f t="shared" si="2"/>
        <v>10.20991026616759</v>
      </c>
      <c r="H62" s="3">
        <v>3619010000000</v>
      </c>
      <c r="I62" s="3">
        <v>25149999000000</v>
      </c>
      <c r="J62" s="15">
        <f t="shared" si="1"/>
        <v>0.14389702361419576</v>
      </c>
    </row>
    <row r="63" spans="1:10" x14ac:dyDescent="0.25">
      <c r="A63" s="2"/>
      <c r="B63" s="12">
        <v>2022</v>
      </c>
      <c r="C63" s="3">
        <v>2930357000000</v>
      </c>
      <c r="D63" s="3">
        <v>39847545000000</v>
      </c>
      <c r="E63" s="15">
        <f t="shared" si="0"/>
        <v>7.353921050845165E-2</v>
      </c>
      <c r="F63">
        <f t="shared" si="2"/>
        <v>7.3539210508451651</v>
      </c>
      <c r="H63" s="3">
        <v>2930357000000</v>
      </c>
      <c r="I63" s="3">
        <v>26327214000000</v>
      </c>
      <c r="J63" s="15">
        <f t="shared" si="1"/>
        <v>0.11130524483145084</v>
      </c>
    </row>
    <row r="64" spans="1:10" x14ac:dyDescent="0.25">
      <c r="A64" s="2"/>
      <c r="B64" s="12">
        <v>2023</v>
      </c>
      <c r="C64" s="3">
        <v>2318088000000</v>
      </c>
      <c r="D64" s="3">
        <v>40970800000000</v>
      </c>
      <c r="E64" s="15">
        <f t="shared" ref="E64:E127" si="3">C64/D64</f>
        <v>5.6579027014361447E-2</v>
      </c>
      <c r="F64">
        <f t="shared" si="2"/>
        <v>5.6579027014361447</v>
      </c>
      <c r="H64" s="3">
        <v>2318088000000</v>
      </c>
      <c r="I64" s="3">
        <v>27028758000000</v>
      </c>
      <c r="J64" s="15">
        <f t="shared" ref="J64:J127" si="4">H64/I64</f>
        <v>8.576376317402376E-2</v>
      </c>
    </row>
    <row r="65" spans="1:10" x14ac:dyDescent="0.25">
      <c r="A65" s="2" t="s">
        <v>23</v>
      </c>
      <c r="B65" s="12">
        <v>2021</v>
      </c>
      <c r="C65" s="3">
        <v>739649000000</v>
      </c>
      <c r="D65" s="3">
        <v>13712160000000</v>
      </c>
      <c r="E65" s="15">
        <f t="shared" si="3"/>
        <v>5.3941100453903691E-2</v>
      </c>
      <c r="F65">
        <f t="shared" si="2"/>
        <v>5.3941100453903692</v>
      </c>
      <c r="H65" s="3">
        <v>739649000000</v>
      </c>
      <c r="I65" s="3">
        <v>7025463000000</v>
      </c>
      <c r="J65" s="15">
        <f t="shared" si="4"/>
        <v>0.1052811750627681</v>
      </c>
    </row>
    <row r="66" spans="1:10" x14ac:dyDescent="0.25">
      <c r="A66" s="2"/>
      <c r="B66" s="12">
        <v>2022</v>
      </c>
      <c r="C66" s="3">
        <v>1206587000000</v>
      </c>
      <c r="D66" s="3">
        <v>15357229000000</v>
      </c>
      <c r="E66" s="15">
        <f t="shared" si="3"/>
        <v>7.8568015102203653E-2</v>
      </c>
      <c r="F66">
        <f t="shared" si="2"/>
        <v>7.8568015102203654</v>
      </c>
      <c r="H66" s="3">
        <v>1206587000000</v>
      </c>
      <c r="I66" s="3">
        <v>8160140000000</v>
      </c>
      <c r="J66" s="15">
        <f t="shared" si="4"/>
        <v>0.14786351704750164</v>
      </c>
    </row>
    <row r="67" spans="1:10" x14ac:dyDescent="0.25">
      <c r="A67" s="2"/>
      <c r="B67" s="12">
        <v>2023</v>
      </c>
      <c r="C67" s="3">
        <v>841665000000</v>
      </c>
      <c r="D67" s="3">
        <v>16178278000000</v>
      </c>
      <c r="E67" s="15">
        <f t="shared" si="3"/>
        <v>5.202438726791566E-2</v>
      </c>
      <c r="F67">
        <f t="shared" ref="F67:F130" si="5">E67*100</f>
        <v>5.2024387267915664</v>
      </c>
      <c r="H67" s="3">
        <v>841665000000</v>
      </c>
      <c r="I67" s="3">
        <v>8889428000000</v>
      </c>
      <c r="J67" s="15">
        <f t="shared" si="4"/>
        <v>9.4681570062775694E-2</v>
      </c>
    </row>
    <row r="68" spans="1:10" x14ac:dyDescent="0.25">
      <c r="A68" s="2" t="s">
        <v>24</v>
      </c>
      <c r="B68" s="12">
        <v>2021</v>
      </c>
      <c r="C68" s="3">
        <v>7137097000000</v>
      </c>
      <c r="D68" s="3">
        <v>53090428000000</v>
      </c>
      <c r="E68" s="15">
        <f t="shared" si="3"/>
        <v>0.13443283975785617</v>
      </c>
      <c r="F68">
        <f t="shared" si="5"/>
        <v>13.443283975785617</v>
      </c>
      <c r="H68" s="3">
        <v>7137097000000</v>
      </c>
      <c r="I68" s="3">
        <v>29191406000000</v>
      </c>
      <c r="J68" s="15">
        <f t="shared" si="4"/>
        <v>0.24449308813696743</v>
      </c>
    </row>
    <row r="69" spans="1:10" x14ac:dyDescent="0.25">
      <c r="A69" s="2"/>
      <c r="B69" s="12">
        <v>2022</v>
      </c>
      <c r="C69" s="3">
        <v>6323744000000</v>
      </c>
      <c r="D69" s="3">
        <v>54786992000000</v>
      </c>
      <c r="E69" s="15">
        <f t="shared" si="3"/>
        <v>0.11542418682157253</v>
      </c>
      <c r="F69">
        <f t="shared" si="5"/>
        <v>11.542418682157253</v>
      </c>
      <c r="H69" s="3">
        <v>6323744000000</v>
      </c>
      <c r="I69" s="3">
        <v>28170168000000</v>
      </c>
      <c r="J69" s="15">
        <f t="shared" si="4"/>
        <v>0.22448371624904756</v>
      </c>
    </row>
    <row r="70" spans="1:10" x14ac:dyDescent="0.25">
      <c r="A70" s="2"/>
      <c r="B70" s="12">
        <v>2023</v>
      </c>
      <c r="C70" s="3">
        <v>8096811000000</v>
      </c>
      <c r="D70" s="3">
        <v>55316264000000</v>
      </c>
      <c r="E70" s="15">
        <f t="shared" si="3"/>
        <v>0.14637306308321907</v>
      </c>
      <c r="F70">
        <f t="shared" si="5"/>
        <v>14.637306308321907</v>
      </c>
      <c r="H70" s="3">
        <v>8096811000000</v>
      </c>
      <c r="I70" s="3">
        <v>29869853000000</v>
      </c>
      <c r="J70" s="15">
        <f t="shared" si="4"/>
        <v>0.27106966344963263</v>
      </c>
    </row>
    <row r="71" spans="1:10" x14ac:dyDescent="0.25">
      <c r="A71" s="2" t="s">
        <v>25</v>
      </c>
      <c r="B71" s="12">
        <v>2021</v>
      </c>
      <c r="C71" s="3">
        <v>7911943000000</v>
      </c>
      <c r="D71" s="3">
        <v>118015311000000</v>
      </c>
      <c r="E71" s="15">
        <f t="shared" si="3"/>
        <v>6.7041665466610514E-2</v>
      </c>
      <c r="F71">
        <f t="shared" si="5"/>
        <v>6.7041665466610514</v>
      </c>
      <c r="H71" s="3">
        <v>7911943000000</v>
      </c>
      <c r="I71" s="3">
        <v>54940607000000</v>
      </c>
      <c r="J71" s="15">
        <f t="shared" si="4"/>
        <v>0.14400902050463329</v>
      </c>
    </row>
    <row r="72" spans="1:10" x14ac:dyDescent="0.25">
      <c r="A72" s="2"/>
      <c r="B72" s="12">
        <v>2022</v>
      </c>
      <c r="C72" s="3">
        <v>5722194000000</v>
      </c>
      <c r="D72" s="3">
        <v>115305536000000</v>
      </c>
      <c r="E72" s="15">
        <f t="shared" si="3"/>
        <v>4.9626359657180728E-2</v>
      </c>
      <c r="F72">
        <f t="shared" si="5"/>
        <v>4.9626359657180732</v>
      </c>
      <c r="H72" s="3">
        <v>5722194000000</v>
      </c>
      <c r="I72" s="3">
        <v>57473007000000</v>
      </c>
      <c r="J72" s="15">
        <f t="shared" si="4"/>
        <v>9.9563156665876215E-2</v>
      </c>
    </row>
    <row r="73" spans="1:10" x14ac:dyDescent="0.25">
      <c r="A73" s="2"/>
      <c r="B73" s="12">
        <v>2023</v>
      </c>
      <c r="C73" s="3">
        <v>8465123000000</v>
      </c>
      <c r="D73" s="3">
        <v>119267076000000</v>
      </c>
      <c r="E73" s="15">
        <f t="shared" si="3"/>
        <v>7.0976192960410966E-2</v>
      </c>
      <c r="F73">
        <f t="shared" si="5"/>
        <v>7.0976192960410964</v>
      </c>
      <c r="H73" s="3">
        <v>8465123000000</v>
      </c>
      <c r="I73" s="3">
        <v>62104033000000</v>
      </c>
      <c r="J73" s="15">
        <f t="shared" si="4"/>
        <v>0.13630552785517167</v>
      </c>
    </row>
    <row r="74" spans="1:10" x14ac:dyDescent="0.25">
      <c r="A74" s="2" t="s">
        <v>26</v>
      </c>
      <c r="B74" s="12">
        <v>2021</v>
      </c>
      <c r="C74" s="3">
        <v>11229695000000</v>
      </c>
      <c r="D74" s="3">
        <v>179271840000000</v>
      </c>
      <c r="E74" s="15">
        <f t="shared" si="3"/>
        <v>6.2640596537638038E-2</v>
      </c>
      <c r="F74">
        <f t="shared" si="5"/>
        <v>6.2640596537638036</v>
      </c>
      <c r="H74" s="3">
        <v>11229695000000</v>
      </c>
      <c r="I74" s="3">
        <v>86986509000000</v>
      </c>
      <c r="J74" s="15">
        <f t="shared" si="4"/>
        <v>0.12909697295703637</v>
      </c>
    </row>
    <row r="75" spans="1:10" x14ac:dyDescent="0.25">
      <c r="A75" s="2"/>
      <c r="B75" s="12">
        <v>2022</v>
      </c>
      <c r="C75" s="3">
        <v>9192569000000</v>
      </c>
      <c r="D75" s="3">
        <v>180433300000000</v>
      </c>
      <c r="E75" s="15">
        <f t="shared" si="3"/>
        <v>5.0947186578087306E-2</v>
      </c>
      <c r="F75">
        <f t="shared" si="5"/>
        <v>5.0947186578087305</v>
      </c>
      <c r="H75" s="3">
        <v>9192569000000</v>
      </c>
      <c r="I75" s="3">
        <v>93623038000000</v>
      </c>
      <c r="J75" s="15">
        <f t="shared" si="4"/>
        <v>9.8187040245372087E-2</v>
      </c>
    </row>
    <row r="76" spans="1:10" x14ac:dyDescent="0.25">
      <c r="A76" s="2"/>
      <c r="B76" s="12">
        <v>2023</v>
      </c>
      <c r="C76" s="3">
        <v>11493733000000</v>
      </c>
      <c r="D76" s="3">
        <v>186587957000000</v>
      </c>
      <c r="E76" s="15">
        <f t="shared" si="3"/>
        <v>6.1599543640429057E-2</v>
      </c>
      <c r="F76">
        <f t="shared" si="5"/>
        <v>6.159954364042906</v>
      </c>
      <c r="H76" s="3">
        <v>11493733000000</v>
      </c>
      <c r="I76" s="3">
        <v>100464891000000</v>
      </c>
      <c r="J76" s="15">
        <f t="shared" si="4"/>
        <v>0.11440546926985667</v>
      </c>
    </row>
    <row r="77" spans="1:10" x14ac:dyDescent="0.25">
      <c r="A77" s="2" t="s">
        <v>27</v>
      </c>
      <c r="B77" s="12">
        <v>2021</v>
      </c>
      <c r="C77" s="3">
        <v>2130896000000</v>
      </c>
      <c r="D77" s="3">
        <v>28589656000000</v>
      </c>
      <c r="E77" s="15">
        <f t="shared" si="3"/>
        <v>7.4533810410310639E-2</v>
      </c>
      <c r="F77">
        <f t="shared" si="5"/>
        <v>7.4533810410310641</v>
      </c>
      <c r="H77" s="3">
        <v>2130896000000</v>
      </c>
      <c r="I77" s="3">
        <v>13102710000000</v>
      </c>
      <c r="J77" s="15">
        <f t="shared" si="4"/>
        <v>0.16263017345266742</v>
      </c>
    </row>
    <row r="78" spans="1:10" x14ac:dyDescent="0.25">
      <c r="A78" s="2"/>
      <c r="B78" s="12">
        <v>2022</v>
      </c>
      <c r="C78" s="3">
        <v>1490931000000</v>
      </c>
      <c r="D78" s="3">
        <v>32690887000000</v>
      </c>
      <c r="E78" s="15">
        <f t="shared" si="3"/>
        <v>4.5606930151512869E-2</v>
      </c>
      <c r="F78">
        <f t="shared" si="5"/>
        <v>4.560693015151287</v>
      </c>
      <c r="H78" s="3">
        <v>1490931000000</v>
      </c>
      <c r="I78" s="3">
        <v>13654777000000</v>
      </c>
      <c r="J78" s="15">
        <f t="shared" si="4"/>
        <v>0.10918750265932574</v>
      </c>
    </row>
    <row r="79" spans="1:10" x14ac:dyDescent="0.25">
      <c r="A79" s="2"/>
      <c r="B79" s="12">
        <v>2023</v>
      </c>
      <c r="C79" s="3">
        <v>945922000000</v>
      </c>
      <c r="D79" s="3">
        <v>34109431000000</v>
      </c>
      <c r="E79" s="15">
        <f t="shared" si="3"/>
        <v>2.7731978290696201E-2</v>
      </c>
      <c r="F79">
        <f t="shared" si="5"/>
        <v>2.7731978290696202</v>
      </c>
      <c r="H79" s="3">
        <v>945922000000</v>
      </c>
      <c r="I79" s="3">
        <v>14167212000000</v>
      </c>
      <c r="J79" s="15">
        <f t="shared" si="4"/>
        <v>6.6768394515448776E-2</v>
      </c>
    </row>
    <row r="80" spans="1:10" x14ac:dyDescent="0.25">
      <c r="A80" s="2" t="s">
        <v>47</v>
      </c>
      <c r="B80" s="12">
        <v>2021</v>
      </c>
      <c r="C80" s="3">
        <v>991630000000</v>
      </c>
      <c r="D80" s="3">
        <v>11851269000000</v>
      </c>
      <c r="E80" s="15">
        <f t="shared" si="3"/>
        <v>8.36728961261448E-2</v>
      </c>
      <c r="F80">
        <f t="shared" si="5"/>
        <v>8.3672896126144796</v>
      </c>
      <c r="H80" s="3">
        <v>991630000000</v>
      </c>
      <c r="I80" s="3">
        <v>10191396000000</v>
      </c>
      <c r="J80" s="15">
        <f t="shared" si="4"/>
        <v>9.7300703456131038E-2</v>
      </c>
    </row>
    <row r="81" spans="1:10" x14ac:dyDescent="0.25">
      <c r="A81" s="2"/>
      <c r="B81" s="12">
        <v>2022</v>
      </c>
      <c r="C81" s="3">
        <v>1035285000000</v>
      </c>
      <c r="D81" s="3">
        <v>12417013000000</v>
      </c>
      <c r="E81" s="15">
        <f t="shared" si="3"/>
        <v>8.3376332133984238E-2</v>
      </c>
      <c r="F81">
        <f t="shared" si="5"/>
        <v>8.3376332133984246</v>
      </c>
      <c r="H81" s="3">
        <v>1035285000000</v>
      </c>
      <c r="I81" s="3">
        <v>10935707000000</v>
      </c>
      <c r="J81" s="15">
        <f t="shared" si="4"/>
        <v>9.4670147984030659E-2</v>
      </c>
    </row>
    <row r="82" spans="1:10" x14ac:dyDescent="0.25">
      <c r="A82" s="2"/>
      <c r="B82" s="12">
        <v>2023</v>
      </c>
      <c r="C82" s="3">
        <v>760673000000</v>
      </c>
      <c r="D82" s="3">
        <v>12514203000000</v>
      </c>
      <c r="E82" s="15">
        <f t="shared" si="3"/>
        <v>6.0784773908494211E-2</v>
      </c>
      <c r="F82">
        <f t="shared" si="5"/>
        <v>6.0784773908494207</v>
      </c>
      <c r="H82" s="3">
        <v>760673000000</v>
      </c>
      <c r="I82" s="3">
        <v>11347441000000</v>
      </c>
      <c r="J82" s="15">
        <f t="shared" si="4"/>
        <v>6.7034761405677282E-2</v>
      </c>
    </row>
    <row r="83" spans="1:10" x14ac:dyDescent="0.25">
      <c r="A83" s="2" t="s">
        <v>48</v>
      </c>
      <c r="B83" s="12">
        <v>2021</v>
      </c>
      <c r="C83" s="3">
        <v>60376485000</v>
      </c>
      <c r="D83" s="3">
        <v>5436745210000</v>
      </c>
      <c r="E83" s="15">
        <f t="shared" si="3"/>
        <v>1.1105262922556564E-2</v>
      </c>
      <c r="F83">
        <f t="shared" si="5"/>
        <v>1.1105262922556562</v>
      </c>
      <c r="H83" s="3">
        <v>60376485000</v>
      </c>
      <c r="I83" s="3">
        <v>2048039833000</v>
      </c>
      <c r="J83" s="15">
        <f t="shared" si="4"/>
        <v>2.9480132186471979E-2</v>
      </c>
    </row>
    <row r="84" spans="1:10" x14ac:dyDescent="0.25">
      <c r="A84" s="2"/>
      <c r="B84" s="12">
        <v>2022</v>
      </c>
      <c r="C84" s="3">
        <v>26217657000</v>
      </c>
      <c r="D84" s="3">
        <v>5746998087000</v>
      </c>
      <c r="E84" s="15">
        <f t="shared" si="3"/>
        <v>4.5619741999402552E-3</v>
      </c>
      <c r="F84">
        <f t="shared" si="5"/>
        <v>0.45619741999402552</v>
      </c>
      <c r="H84" s="3">
        <v>26217657000</v>
      </c>
      <c r="I84" s="3">
        <v>2075138470000</v>
      </c>
      <c r="J84" s="15">
        <f t="shared" si="4"/>
        <v>1.2634172311402429E-2</v>
      </c>
    </row>
    <row r="85" spans="1:10" x14ac:dyDescent="0.25">
      <c r="A85" s="2"/>
      <c r="B85" s="12">
        <v>2023</v>
      </c>
      <c r="C85" s="3">
        <v>63162746000</v>
      </c>
      <c r="D85" s="3">
        <v>5517296880000</v>
      </c>
      <c r="E85" s="15">
        <f t="shared" si="3"/>
        <v>1.1448132550010613E-2</v>
      </c>
      <c r="F85">
        <f t="shared" si="5"/>
        <v>1.1448132550010612</v>
      </c>
      <c r="H85" s="3">
        <v>63162746000</v>
      </c>
      <c r="I85" s="3">
        <v>2140281849000</v>
      </c>
      <c r="J85" s="15">
        <f t="shared" si="4"/>
        <v>2.9511415064100748E-2</v>
      </c>
    </row>
    <row r="86" spans="1:10" x14ac:dyDescent="0.25">
      <c r="A86" s="2" t="s">
        <v>49</v>
      </c>
      <c r="B86" s="12">
        <v>2021</v>
      </c>
      <c r="C86" s="3">
        <v>665850000000</v>
      </c>
      <c r="D86" s="3">
        <v>2922017000000</v>
      </c>
      <c r="E86" s="15">
        <f t="shared" si="3"/>
        <v>0.22787341757423041</v>
      </c>
      <c r="F86">
        <f t="shared" si="5"/>
        <v>22.787341757423039</v>
      </c>
      <c r="H86" s="3">
        <v>665850000000</v>
      </c>
      <c r="I86" s="3">
        <v>1099157000000</v>
      </c>
      <c r="J86" s="15">
        <f t="shared" si="4"/>
        <v>0.6057824314451894</v>
      </c>
    </row>
    <row r="87" spans="1:10" x14ac:dyDescent="0.25">
      <c r="A87" s="2"/>
      <c r="B87" s="12">
        <v>2022</v>
      </c>
      <c r="C87" s="3">
        <v>924906000000</v>
      </c>
      <c r="D87" s="3">
        <v>3374502000000</v>
      </c>
      <c r="E87" s="15">
        <f t="shared" si="3"/>
        <v>0.27408666523238095</v>
      </c>
      <c r="F87">
        <f t="shared" si="5"/>
        <v>27.408666523238097</v>
      </c>
      <c r="H87" s="3">
        <v>924906000000</v>
      </c>
      <c r="I87" s="3">
        <v>1073275000000</v>
      </c>
      <c r="J87" s="15">
        <f t="shared" si="4"/>
        <v>0.86176049940602362</v>
      </c>
    </row>
    <row r="88" spans="1:10" x14ac:dyDescent="0.25">
      <c r="A88" s="2"/>
      <c r="B88" s="12">
        <v>2023</v>
      </c>
      <c r="C88" s="3">
        <v>1066467000000</v>
      </c>
      <c r="D88" s="3">
        <v>3407442000000</v>
      </c>
      <c r="E88" s="15">
        <f t="shared" si="3"/>
        <v>0.31298170299010225</v>
      </c>
      <c r="F88">
        <f t="shared" si="5"/>
        <v>31.298170299010224</v>
      </c>
      <c r="H88" s="3">
        <v>1066467000000</v>
      </c>
      <c r="I88" s="3">
        <v>1391455000000</v>
      </c>
      <c r="J88" s="15">
        <f t="shared" si="4"/>
        <v>0.76644016515086721</v>
      </c>
    </row>
    <row r="89" spans="1:10" x14ac:dyDescent="0.25">
      <c r="A89" s="2" t="s">
        <v>50</v>
      </c>
      <c r="B89" s="12">
        <v>2021</v>
      </c>
      <c r="C89" s="3">
        <v>1211052647953</v>
      </c>
      <c r="D89" s="3">
        <v>19917653265528</v>
      </c>
      <c r="E89" s="15">
        <f t="shared" si="3"/>
        <v>6.0802978734899468E-2</v>
      </c>
      <c r="F89">
        <f t="shared" si="5"/>
        <v>6.0802978734899469</v>
      </c>
      <c r="H89" s="3">
        <v>1211052647953</v>
      </c>
      <c r="I89" s="3">
        <v>11360031396135</v>
      </c>
      <c r="J89" s="15">
        <f t="shared" si="4"/>
        <v>0.10660645254598802</v>
      </c>
    </row>
    <row r="90" spans="1:10" x14ac:dyDescent="0.25">
      <c r="A90" s="2"/>
      <c r="B90" s="12">
        <v>2022</v>
      </c>
      <c r="C90" s="3">
        <v>1970064538149</v>
      </c>
      <c r="D90" s="3">
        <v>22276160695411</v>
      </c>
      <c r="E90" s="15">
        <f t="shared" si="3"/>
        <v>8.8438244142979405E-2</v>
      </c>
      <c r="F90">
        <f t="shared" si="5"/>
        <v>8.8438244142979414</v>
      </c>
      <c r="H90" s="3">
        <v>1970064538149</v>
      </c>
      <c r="I90" s="3">
        <v>12834694090515</v>
      </c>
      <c r="J90" s="15">
        <f t="shared" si="4"/>
        <v>0.15349524688748931</v>
      </c>
    </row>
    <row r="91" spans="1:10" x14ac:dyDescent="0.25">
      <c r="A91" s="2"/>
      <c r="B91" s="12">
        <v>2023</v>
      </c>
      <c r="C91" s="3">
        <v>3244872091221</v>
      </c>
      <c r="D91" s="3">
        <v>23870404962472</v>
      </c>
      <c r="E91" s="15">
        <f t="shared" si="3"/>
        <v>0.13593703568592344</v>
      </c>
      <c r="F91">
        <f t="shared" si="5"/>
        <v>13.593703568592344</v>
      </c>
      <c r="H91" s="3">
        <v>3244872091221</v>
      </c>
      <c r="I91" s="3">
        <v>15282089186736</v>
      </c>
      <c r="J91" s="15">
        <f t="shared" si="4"/>
        <v>0.21233170750222868</v>
      </c>
    </row>
    <row r="92" spans="1:10" x14ac:dyDescent="0.25">
      <c r="A92" s="2" t="s">
        <v>51</v>
      </c>
      <c r="B92" s="12">
        <v>2021</v>
      </c>
      <c r="C92" s="3">
        <v>283602993676</v>
      </c>
      <c r="D92" s="3">
        <v>4191284422677</v>
      </c>
      <c r="E92" s="15">
        <f t="shared" si="3"/>
        <v>6.7664936347808374E-2</v>
      </c>
      <c r="F92">
        <f t="shared" si="5"/>
        <v>6.7664936347808373</v>
      </c>
      <c r="H92" s="3">
        <v>283602993676</v>
      </c>
      <c r="I92" s="3">
        <v>2869591202766</v>
      </c>
      <c r="J92" s="15">
        <f t="shared" si="4"/>
        <v>9.8830451320952958E-2</v>
      </c>
    </row>
    <row r="93" spans="1:10" x14ac:dyDescent="0.25">
      <c r="A93" s="2"/>
      <c r="B93" s="12">
        <v>2022</v>
      </c>
      <c r="C93" s="3">
        <v>432247722254</v>
      </c>
      <c r="D93" s="3">
        <v>4130321616083</v>
      </c>
      <c r="E93" s="15">
        <f t="shared" si="3"/>
        <v>0.10465231583198674</v>
      </c>
      <c r="F93">
        <f t="shared" si="5"/>
        <v>10.465231583198674</v>
      </c>
      <c r="H93" s="3">
        <v>432247722254</v>
      </c>
      <c r="I93" s="3">
        <v>2681158538764</v>
      </c>
      <c r="J93" s="15">
        <f t="shared" si="4"/>
        <v>0.16121677103557774</v>
      </c>
    </row>
    <row r="94" spans="1:10" x14ac:dyDescent="0.25">
      <c r="A94" s="2"/>
      <c r="B94" s="12">
        <v>2023</v>
      </c>
      <c r="C94" s="3">
        <v>333300420963</v>
      </c>
      <c r="D94" s="3">
        <v>3943518425042</v>
      </c>
      <c r="E94" s="15">
        <f t="shared" si="3"/>
        <v>8.4518540308189435E-2</v>
      </c>
      <c r="F94">
        <f t="shared" si="5"/>
        <v>8.4518540308189429</v>
      </c>
      <c r="H94" s="3">
        <v>333300420963</v>
      </c>
      <c r="I94" s="3">
        <v>2393431575281</v>
      </c>
      <c r="J94" s="15">
        <f t="shared" si="4"/>
        <v>0.13925629811408707</v>
      </c>
    </row>
    <row r="95" spans="1:10" x14ac:dyDescent="0.25">
      <c r="A95" s="2" t="s">
        <v>52</v>
      </c>
      <c r="B95" s="12">
        <v>2021</v>
      </c>
      <c r="C95" s="3">
        <v>29707421605</v>
      </c>
      <c r="D95" s="3">
        <v>1970428120056</v>
      </c>
      <c r="E95" s="15">
        <f t="shared" si="3"/>
        <v>1.5076632992913088E-2</v>
      </c>
      <c r="F95">
        <f t="shared" si="5"/>
        <v>1.5076632992913088</v>
      </c>
      <c r="H95" s="3">
        <v>29707421605</v>
      </c>
      <c r="I95" s="3">
        <v>992485493010</v>
      </c>
      <c r="J95" s="15">
        <f t="shared" si="4"/>
        <v>2.9932348446629311E-2</v>
      </c>
    </row>
    <row r="96" spans="1:10" x14ac:dyDescent="0.25">
      <c r="A96" s="2"/>
      <c r="B96" s="12">
        <v>2022</v>
      </c>
      <c r="C96" s="3">
        <v>86635603936</v>
      </c>
      <c r="D96" s="3">
        <v>2042199577083</v>
      </c>
      <c r="E96" s="15">
        <f t="shared" si="3"/>
        <v>4.2422692134598809E-2</v>
      </c>
      <c r="F96">
        <f t="shared" si="5"/>
        <v>4.2422692134598812</v>
      </c>
      <c r="H96" s="3">
        <v>86635603936</v>
      </c>
      <c r="I96" s="3">
        <v>1073965710489</v>
      </c>
      <c r="J96" s="15">
        <f t="shared" si="4"/>
        <v>8.0668873400578989E-2</v>
      </c>
    </row>
    <row r="97" spans="1:10" x14ac:dyDescent="0.25">
      <c r="A97" s="2"/>
      <c r="B97" s="12">
        <v>2023</v>
      </c>
      <c r="C97" s="3">
        <v>2306736526</v>
      </c>
      <c r="D97" s="3">
        <v>1839622473747</v>
      </c>
      <c r="E97" s="15">
        <f t="shared" si="3"/>
        <v>1.2539184310471961E-3</v>
      </c>
      <c r="F97">
        <f t="shared" si="5"/>
        <v>0.12539184310471962</v>
      </c>
      <c r="H97" s="3">
        <v>2306736526</v>
      </c>
      <c r="I97" s="3">
        <v>1067279217885</v>
      </c>
      <c r="J97" s="15">
        <f t="shared" si="4"/>
        <v>2.161324316396979E-3</v>
      </c>
    </row>
    <row r="98" spans="1:10" x14ac:dyDescent="0.25">
      <c r="A98" s="2" t="s">
        <v>53</v>
      </c>
      <c r="B98" s="12">
        <v>2021</v>
      </c>
      <c r="C98" s="3">
        <v>2829418000000</v>
      </c>
      <c r="D98" s="3">
        <v>40345003000000</v>
      </c>
      <c r="E98" s="15">
        <f t="shared" si="3"/>
        <v>7.0130568586151798E-2</v>
      </c>
      <c r="F98">
        <f t="shared" si="5"/>
        <v>7.0130568586151796</v>
      </c>
      <c r="H98" s="3">
        <v>2829418000000</v>
      </c>
      <c r="I98" s="3">
        <v>14417829000000</v>
      </c>
      <c r="J98" s="15">
        <f t="shared" si="4"/>
        <v>0.19624438603065691</v>
      </c>
    </row>
    <row r="99" spans="1:10" x14ac:dyDescent="0.25">
      <c r="A99" s="2"/>
      <c r="B99" s="12">
        <v>2022</v>
      </c>
      <c r="C99" s="3">
        <v>5504956000000</v>
      </c>
      <c r="D99" s="3">
        <v>42600814000000</v>
      </c>
      <c r="E99" s="15">
        <f t="shared" si="3"/>
        <v>0.12922185008014167</v>
      </c>
      <c r="F99">
        <f t="shared" si="5"/>
        <v>12.922185008014168</v>
      </c>
      <c r="H99" s="3">
        <v>5504956000000</v>
      </c>
      <c r="I99" s="3">
        <v>19247803000000</v>
      </c>
      <c r="J99" s="15">
        <f t="shared" si="4"/>
        <v>0.28600438190270339</v>
      </c>
    </row>
    <row r="100" spans="1:10" x14ac:dyDescent="0.25">
      <c r="A100" s="2"/>
      <c r="B100" s="12">
        <v>2023</v>
      </c>
      <c r="C100" s="3">
        <v>917870000000</v>
      </c>
      <c r="D100" s="3">
        <v>39716363000000</v>
      </c>
      <c r="E100" s="15">
        <f t="shared" si="3"/>
        <v>2.3110625713638481E-2</v>
      </c>
      <c r="F100">
        <f t="shared" si="5"/>
        <v>2.311062571363848</v>
      </c>
      <c r="H100" s="3">
        <v>917870000000</v>
      </c>
      <c r="I100" s="3">
        <v>19071863000000</v>
      </c>
      <c r="J100" s="15">
        <f t="shared" si="4"/>
        <v>4.8126918696930657E-2</v>
      </c>
    </row>
    <row r="101" spans="1:10" x14ac:dyDescent="0.25">
      <c r="A101" s="2" t="s">
        <v>54</v>
      </c>
      <c r="B101" s="12">
        <v>2021</v>
      </c>
      <c r="C101" s="3">
        <v>617573766863</v>
      </c>
      <c r="D101" s="3">
        <v>3919243683748</v>
      </c>
      <c r="E101" s="15">
        <f t="shared" si="3"/>
        <v>0.15757473040625275</v>
      </c>
      <c r="F101">
        <f t="shared" si="5"/>
        <v>15.757473040625275</v>
      </c>
      <c r="H101" s="3">
        <v>617573766863</v>
      </c>
      <c r="I101" s="3">
        <v>3300848622529</v>
      </c>
      <c r="J101" s="15">
        <f t="shared" si="4"/>
        <v>0.18709545255966195</v>
      </c>
    </row>
    <row r="102" spans="1:10" x14ac:dyDescent="0.25">
      <c r="A102" s="2"/>
      <c r="B102" s="12">
        <v>2022</v>
      </c>
      <c r="C102" s="3">
        <v>624524005786</v>
      </c>
      <c r="D102" s="3">
        <v>4590737849889</v>
      </c>
      <c r="E102" s="15">
        <f t="shared" si="3"/>
        <v>0.13604000624890844</v>
      </c>
      <c r="F102">
        <f t="shared" si="5"/>
        <v>13.604000624890844</v>
      </c>
      <c r="H102" s="3">
        <v>624524005786</v>
      </c>
      <c r="I102" s="3">
        <v>3928398773915</v>
      </c>
      <c r="J102" s="15">
        <f t="shared" si="4"/>
        <v>0.15897673370964988</v>
      </c>
    </row>
    <row r="103" spans="1:10" x14ac:dyDescent="0.25">
      <c r="A103" s="2"/>
      <c r="B103" s="12">
        <v>2023</v>
      </c>
      <c r="C103" s="3">
        <v>917794022711</v>
      </c>
      <c r="D103" s="3">
        <v>5482234635262</v>
      </c>
      <c r="E103" s="15">
        <f t="shared" si="3"/>
        <v>0.16741239362644281</v>
      </c>
      <c r="F103">
        <f t="shared" si="5"/>
        <v>16.741239362644279</v>
      </c>
      <c r="H103" s="3">
        <v>917794022711</v>
      </c>
      <c r="I103" s="3">
        <v>4847511375575</v>
      </c>
      <c r="J103" s="15">
        <f t="shared" si="4"/>
        <v>0.18933303124061954</v>
      </c>
    </row>
    <row r="104" spans="1:10" x14ac:dyDescent="0.25">
      <c r="A104" s="2" t="s">
        <v>55</v>
      </c>
      <c r="B104" s="12">
        <v>2021</v>
      </c>
      <c r="C104" s="3">
        <v>791916000000</v>
      </c>
      <c r="D104" s="3">
        <v>21084017000000</v>
      </c>
      <c r="E104" s="15">
        <f t="shared" si="3"/>
        <v>3.7560015247568808E-2</v>
      </c>
      <c r="F104">
        <f t="shared" si="5"/>
        <v>3.756001524756881</v>
      </c>
      <c r="H104" s="3">
        <v>791916000000</v>
      </c>
      <c r="I104" s="3">
        <v>6492354000000</v>
      </c>
      <c r="J104" s="15">
        <f t="shared" si="4"/>
        <v>0.12197671291491499</v>
      </c>
    </row>
    <row r="105" spans="1:10" x14ac:dyDescent="0.25">
      <c r="A105" s="2"/>
      <c r="B105" s="12">
        <v>2022</v>
      </c>
      <c r="C105" s="3">
        <v>801440000000</v>
      </c>
      <c r="D105" s="3">
        <v>23673644000000</v>
      </c>
      <c r="E105" s="15">
        <f t="shared" si="3"/>
        <v>3.3853681334398707E-2</v>
      </c>
      <c r="F105">
        <f t="shared" si="5"/>
        <v>3.3853681334398709</v>
      </c>
      <c r="H105" s="3">
        <v>801440000000</v>
      </c>
      <c r="I105" s="3">
        <v>6832234000000</v>
      </c>
      <c r="J105" s="15">
        <f t="shared" si="4"/>
        <v>0.11730277388040281</v>
      </c>
    </row>
    <row r="106" spans="1:10" x14ac:dyDescent="0.25">
      <c r="A106" s="2"/>
      <c r="B106" s="12">
        <v>2023</v>
      </c>
      <c r="C106" s="3">
        <v>612218000000</v>
      </c>
      <c r="D106" s="3">
        <v>25883325000000</v>
      </c>
      <c r="E106" s="15">
        <f t="shared" si="3"/>
        <v>2.3652988941722131E-2</v>
      </c>
      <c r="F106">
        <f t="shared" si="5"/>
        <v>2.3652988941722128</v>
      </c>
      <c r="H106" s="3">
        <v>612218000000</v>
      </c>
      <c r="I106" s="3">
        <v>8202858000000</v>
      </c>
      <c r="J106" s="15">
        <f t="shared" si="4"/>
        <v>7.4634718777284698E-2</v>
      </c>
    </row>
    <row r="107" spans="1:10" x14ac:dyDescent="0.25">
      <c r="A107" s="2" t="s">
        <v>56</v>
      </c>
      <c r="B107" s="12">
        <v>2021</v>
      </c>
      <c r="C107" s="3">
        <v>481109000000</v>
      </c>
      <c r="D107" s="3">
        <v>3403961000000</v>
      </c>
      <c r="E107" s="15">
        <f t="shared" si="3"/>
        <v>0.14133798830245117</v>
      </c>
      <c r="F107">
        <f t="shared" si="5"/>
        <v>14.133798830245118</v>
      </c>
      <c r="H107" s="3">
        <v>481109000000</v>
      </c>
      <c r="I107" s="3">
        <v>1760591000000</v>
      </c>
      <c r="J107" s="15">
        <f t="shared" si="4"/>
        <v>0.27326562500887486</v>
      </c>
    </row>
    <row r="108" spans="1:10" x14ac:dyDescent="0.25">
      <c r="A108" s="2"/>
      <c r="B108" s="12">
        <v>2022</v>
      </c>
      <c r="C108" s="3">
        <v>478266000000</v>
      </c>
      <c r="D108" s="3">
        <v>4181760000000</v>
      </c>
      <c r="E108" s="15">
        <f t="shared" si="3"/>
        <v>0.11436954775022957</v>
      </c>
      <c r="F108">
        <f t="shared" si="5"/>
        <v>11.436954775022958</v>
      </c>
      <c r="H108" s="3">
        <v>478266000000</v>
      </c>
      <c r="I108" s="3">
        <v>2045289000000</v>
      </c>
      <c r="J108" s="15">
        <f t="shared" si="4"/>
        <v>0.23383785861069023</v>
      </c>
    </row>
    <row r="109" spans="1:10" x14ac:dyDescent="0.25">
      <c r="A109" s="2"/>
      <c r="B109" s="12">
        <v>2023</v>
      </c>
      <c r="C109" s="3">
        <v>441099000000</v>
      </c>
      <c r="D109" s="3">
        <v>4566006000000</v>
      </c>
      <c r="E109" s="15">
        <f t="shared" si="3"/>
        <v>9.6604997890935754E-2</v>
      </c>
      <c r="F109">
        <f t="shared" si="5"/>
        <v>9.660499789093576</v>
      </c>
      <c r="H109" s="3">
        <v>441099000000</v>
      </c>
      <c r="I109" s="3">
        <v>2200352000000</v>
      </c>
      <c r="J109" s="15">
        <f t="shared" si="4"/>
        <v>0.20046747065923998</v>
      </c>
    </row>
    <row r="110" spans="1:10" x14ac:dyDescent="0.25">
      <c r="A110" s="2" t="s">
        <v>57</v>
      </c>
      <c r="B110" s="12">
        <v>2021</v>
      </c>
      <c r="C110" s="3">
        <v>1276793000000</v>
      </c>
      <c r="D110" s="3">
        <v>7406856000000</v>
      </c>
      <c r="E110" s="15">
        <f t="shared" si="3"/>
        <v>0.1723798869587852</v>
      </c>
      <c r="F110">
        <f t="shared" si="5"/>
        <v>17.237988695878521</v>
      </c>
      <c r="H110" s="3">
        <v>1276793000000</v>
      </c>
      <c r="I110" s="3">
        <v>5138126000000</v>
      </c>
      <c r="J110" s="15">
        <f t="shared" si="4"/>
        <v>0.24849390614399103</v>
      </c>
    </row>
    <row r="111" spans="1:10" x14ac:dyDescent="0.25">
      <c r="A111" s="2"/>
      <c r="B111" s="12">
        <v>2022</v>
      </c>
      <c r="C111" s="3">
        <v>965486000000</v>
      </c>
      <c r="D111" s="3">
        <v>7376375000000</v>
      </c>
      <c r="E111" s="15">
        <f t="shared" si="3"/>
        <v>0.13088895290708513</v>
      </c>
      <c r="F111">
        <f t="shared" si="5"/>
        <v>13.088895290708514</v>
      </c>
      <c r="H111" s="3">
        <v>965486000000</v>
      </c>
      <c r="I111" s="3">
        <v>5822679000000</v>
      </c>
      <c r="J111" s="15">
        <f t="shared" si="4"/>
        <v>0.16581473922914178</v>
      </c>
    </row>
    <row r="112" spans="1:10" x14ac:dyDescent="0.25">
      <c r="A112" s="2"/>
      <c r="B112" s="12">
        <v>2023</v>
      </c>
      <c r="C112" s="3">
        <v>1186161000000</v>
      </c>
      <c r="D112" s="3">
        <v>7523956000000</v>
      </c>
      <c r="E112" s="15">
        <f t="shared" si="3"/>
        <v>0.15765124091634772</v>
      </c>
      <c r="F112">
        <f t="shared" si="5"/>
        <v>15.765124091634771</v>
      </c>
      <c r="H112" s="3">
        <v>1186161000000</v>
      </c>
      <c r="I112" s="3">
        <v>6686968000000</v>
      </c>
      <c r="J112" s="15">
        <f t="shared" si="4"/>
        <v>0.17738398030318075</v>
      </c>
    </row>
    <row r="113" spans="1:10" x14ac:dyDescent="0.25">
      <c r="A113" s="2" t="s">
        <v>58</v>
      </c>
      <c r="B113" s="12">
        <v>2021</v>
      </c>
      <c r="C113" s="3">
        <v>5758148000000</v>
      </c>
      <c r="D113" s="3">
        <v>19068532000000</v>
      </c>
      <c r="E113" s="15">
        <f t="shared" si="3"/>
        <v>0.30197122673103521</v>
      </c>
      <c r="F113">
        <f t="shared" si="5"/>
        <v>30.197122673103522</v>
      </c>
      <c r="H113" s="3">
        <v>5758148000000</v>
      </c>
      <c r="I113" s="3">
        <v>4321269000000</v>
      </c>
      <c r="J113" s="15">
        <f t="shared" si="4"/>
        <v>1.332513203875991</v>
      </c>
    </row>
    <row r="114" spans="1:10" x14ac:dyDescent="0.25">
      <c r="A114" s="2"/>
      <c r="B114" s="12">
        <v>2022</v>
      </c>
      <c r="C114" s="3">
        <v>5364761000000</v>
      </c>
      <c r="D114" s="3">
        <v>18318114000000</v>
      </c>
      <c r="E114" s="15">
        <f t="shared" si="3"/>
        <v>0.29286644902417358</v>
      </c>
      <c r="F114">
        <f t="shared" si="5"/>
        <v>29.286644902417358</v>
      </c>
      <c r="H114" s="3">
        <v>5364761000000</v>
      </c>
      <c r="I114" s="3">
        <v>3997256000000</v>
      </c>
      <c r="J114" s="15">
        <f t="shared" si="4"/>
        <v>1.342110938103539</v>
      </c>
    </row>
    <row r="115" spans="1:10" x14ac:dyDescent="0.25">
      <c r="A115" s="2"/>
      <c r="B115" s="12">
        <v>2023</v>
      </c>
      <c r="C115" s="3">
        <v>4800940000000</v>
      </c>
      <c r="D115" s="3">
        <v>16664086000000</v>
      </c>
      <c r="E115" s="15">
        <f t="shared" si="3"/>
        <v>0.28810100956032031</v>
      </c>
      <c r="F115">
        <f t="shared" si="5"/>
        <v>28.810100956032031</v>
      </c>
      <c r="H115" s="3">
        <v>4800940000000</v>
      </c>
      <c r="I115" s="3">
        <v>3381238000000</v>
      </c>
      <c r="J115" s="15">
        <f t="shared" si="4"/>
        <v>1.4198763884707317</v>
      </c>
    </row>
    <row r="116" spans="1:10" x14ac:dyDescent="0.25">
      <c r="A116" s="2" t="s">
        <v>59</v>
      </c>
      <c r="B116" s="12">
        <v>2021</v>
      </c>
      <c r="C116" s="3">
        <v>180711667020</v>
      </c>
      <c r="D116" s="3">
        <v>1425031081176</v>
      </c>
      <c r="E116" s="15">
        <f t="shared" si="3"/>
        <v>0.12681243897562472</v>
      </c>
      <c r="F116">
        <f t="shared" si="5"/>
        <v>12.681243897562473</v>
      </c>
      <c r="H116" s="3">
        <v>180711667020</v>
      </c>
      <c r="I116" s="3">
        <v>1025649045711</v>
      </c>
      <c r="J116" s="15">
        <f t="shared" si="4"/>
        <v>0.17619249759524433</v>
      </c>
    </row>
    <row r="117" spans="1:10" x14ac:dyDescent="0.25">
      <c r="A117" s="2"/>
      <c r="B117" s="12">
        <v>2022</v>
      </c>
      <c r="C117" s="3">
        <v>195598848689</v>
      </c>
      <c r="D117" s="3">
        <v>1790304606780</v>
      </c>
      <c r="E117" s="15">
        <f t="shared" si="3"/>
        <v>0.10925450783528928</v>
      </c>
      <c r="F117">
        <f t="shared" si="5"/>
        <v>10.925450783528929</v>
      </c>
      <c r="H117" s="3">
        <v>195598848689</v>
      </c>
      <c r="I117" s="3">
        <v>1209171716345</v>
      </c>
      <c r="J117" s="15">
        <f t="shared" si="4"/>
        <v>0.16176267278252468</v>
      </c>
    </row>
    <row r="118" spans="1:10" x14ac:dyDescent="0.25">
      <c r="A118" s="2"/>
      <c r="B118" s="12">
        <v>2023</v>
      </c>
      <c r="C118" s="3">
        <v>324092143202</v>
      </c>
      <c r="D118" s="3">
        <v>2296227711688</v>
      </c>
      <c r="E118" s="15">
        <f t="shared" si="3"/>
        <v>0.1411411166028276</v>
      </c>
      <c r="F118">
        <f t="shared" si="5"/>
        <v>14.114111660282761</v>
      </c>
      <c r="H118" s="3">
        <v>324092143202</v>
      </c>
      <c r="I118" s="3">
        <v>1514585030778</v>
      </c>
      <c r="J118" s="15">
        <f t="shared" si="4"/>
        <v>0.21398081759432347</v>
      </c>
    </row>
    <row r="119" spans="1:10" x14ac:dyDescent="0.25">
      <c r="A119" s="2" t="s">
        <v>60</v>
      </c>
      <c r="B119" s="12">
        <v>2021</v>
      </c>
      <c r="C119" s="3">
        <v>99278807290</v>
      </c>
      <c r="D119" s="3">
        <v>1146235578463</v>
      </c>
      <c r="E119" s="15">
        <f t="shared" si="3"/>
        <v>8.6612917235673367E-2</v>
      </c>
      <c r="F119">
        <f t="shared" si="5"/>
        <v>8.6612917235673361</v>
      </c>
      <c r="H119" s="3">
        <v>99278807290</v>
      </c>
      <c r="I119" s="3">
        <v>1026449179891</v>
      </c>
      <c r="J119" s="15">
        <f t="shared" si="4"/>
        <v>9.6720626052370709E-2</v>
      </c>
    </row>
    <row r="120" spans="1:10" x14ac:dyDescent="0.25">
      <c r="A120" s="2"/>
      <c r="B120" s="12">
        <v>2022</v>
      </c>
      <c r="C120" s="3">
        <v>121257336904</v>
      </c>
      <c r="D120" s="3">
        <v>1074777460412</v>
      </c>
      <c r="E120" s="15">
        <f t="shared" si="3"/>
        <v>0.11282087815417882</v>
      </c>
      <c r="F120">
        <f t="shared" si="5"/>
        <v>11.282087815417881</v>
      </c>
      <c r="H120" s="3">
        <v>121257336904</v>
      </c>
      <c r="I120" s="3">
        <v>941454031015</v>
      </c>
      <c r="J120" s="15">
        <f t="shared" si="4"/>
        <v>0.12879793692451461</v>
      </c>
    </row>
    <row r="121" spans="1:10" x14ac:dyDescent="0.25">
      <c r="A121" s="2"/>
      <c r="B121" s="12">
        <v>2023</v>
      </c>
      <c r="C121" s="3">
        <v>127426464539</v>
      </c>
      <c r="D121" s="3">
        <v>1088726193209</v>
      </c>
      <c r="E121" s="15">
        <f t="shared" si="3"/>
        <v>0.11704179189756875</v>
      </c>
      <c r="F121">
        <f t="shared" si="5"/>
        <v>11.704179189756875</v>
      </c>
      <c r="H121" s="3">
        <v>127426464539</v>
      </c>
      <c r="I121" s="3">
        <v>952639271054</v>
      </c>
      <c r="J121" s="15">
        <f t="shared" si="4"/>
        <v>0.13376150701620287</v>
      </c>
    </row>
    <row r="122" spans="1:10" x14ac:dyDescent="0.25">
      <c r="A122" s="2" t="s">
        <v>61</v>
      </c>
      <c r="B122" s="12">
        <v>2021</v>
      </c>
      <c r="C122" s="3">
        <v>18368616642</v>
      </c>
      <c r="D122" s="3">
        <v>526704173504</v>
      </c>
      <c r="E122" s="15">
        <f t="shared" si="3"/>
        <v>3.4874636591161357E-2</v>
      </c>
      <c r="F122">
        <f t="shared" si="5"/>
        <v>3.4874636591161359</v>
      </c>
      <c r="H122" s="3">
        <v>18368616642</v>
      </c>
      <c r="I122" s="3">
        <v>324679509187</v>
      </c>
      <c r="J122" s="15">
        <f t="shared" si="4"/>
        <v>5.6574610107041116E-2</v>
      </c>
    </row>
    <row r="123" spans="1:10" x14ac:dyDescent="0.25">
      <c r="A123" s="2"/>
      <c r="B123" s="12">
        <v>2022</v>
      </c>
      <c r="C123" s="3">
        <v>23952323176</v>
      </c>
      <c r="D123" s="3">
        <v>553207312282</v>
      </c>
      <c r="E123" s="15">
        <f t="shared" si="3"/>
        <v>4.3297191928276954E-2</v>
      </c>
      <c r="F123">
        <f t="shared" si="5"/>
        <v>4.329719192827695</v>
      </c>
      <c r="H123" s="3">
        <v>23952323176</v>
      </c>
      <c r="I123" s="3">
        <v>364321203318</v>
      </c>
      <c r="J123" s="15">
        <f t="shared" si="4"/>
        <v>6.5745070442943906E-2</v>
      </c>
    </row>
    <row r="124" spans="1:10" x14ac:dyDescent="0.25">
      <c r="A124" s="2"/>
      <c r="B124" s="12">
        <v>2023</v>
      </c>
      <c r="C124" s="3">
        <v>26963627275</v>
      </c>
      <c r="D124" s="3">
        <v>560353325935</v>
      </c>
      <c r="E124" s="15">
        <f t="shared" si="3"/>
        <v>4.8118974273970369E-2</v>
      </c>
      <c r="F124">
        <f t="shared" si="5"/>
        <v>4.811897427397037</v>
      </c>
      <c r="H124" s="3">
        <v>26963627275</v>
      </c>
      <c r="I124" s="3">
        <v>397931210948</v>
      </c>
      <c r="J124" s="15">
        <f t="shared" si="4"/>
        <v>6.7759518562929444E-2</v>
      </c>
    </row>
    <row r="125" spans="1:10" x14ac:dyDescent="0.25">
      <c r="A125" s="2" t="s">
        <v>62</v>
      </c>
      <c r="B125" s="12">
        <v>2021</v>
      </c>
      <c r="C125" s="3">
        <v>213841959820</v>
      </c>
      <c r="D125" s="3">
        <v>3731907652769</v>
      </c>
      <c r="E125" s="15">
        <f t="shared" si="3"/>
        <v>5.7300978404793479E-2</v>
      </c>
      <c r="F125">
        <f t="shared" si="5"/>
        <v>5.7300978404793481</v>
      </c>
      <c r="H125" s="3">
        <v>213841959820</v>
      </c>
      <c r="I125" s="3">
        <v>1424812031387</v>
      </c>
      <c r="J125" s="15">
        <f t="shared" si="4"/>
        <v>0.15008433050065773</v>
      </c>
    </row>
    <row r="126" spans="1:10" x14ac:dyDescent="0.25">
      <c r="A126" s="2"/>
      <c r="B126" s="12">
        <v>2022</v>
      </c>
      <c r="C126" s="3">
        <v>257682130697</v>
      </c>
      <c r="D126" s="3">
        <v>4140857067187</v>
      </c>
      <c r="E126" s="15">
        <f t="shared" si="3"/>
        <v>6.2229177804499942E-2</v>
      </c>
      <c r="F126">
        <f t="shared" si="5"/>
        <v>6.2229177804499942</v>
      </c>
      <c r="H126" s="3">
        <v>257682130697</v>
      </c>
      <c r="I126" s="3">
        <v>1686092119450</v>
      </c>
      <c r="J126" s="15">
        <f t="shared" si="4"/>
        <v>0.15282802625342642</v>
      </c>
    </row>
    <row r="127" spans="1:10" x14ac:dyDescent="0.25">
      <c r="A127" s="2"/>
      <c r="B127" s="12">
        <v>2023</v>
      </c>
      <c r="C127" s="3">
        <v>549244004886</v>
      </c>
      <c r="D127" s="3">
        <v>4181183763101</v>
      </c>
      <c r="E127" s="15">
        <f t="shared" si="3"/>
        <v>0.13136088629566711</v>
      </c>
      <c r="F127">
        <f t="shared" si="5"/>
        <v>13.136088629566711</v>
      </c>
      <c r="H127" s="3">
        <v>549244004886</v>
      </c>
      <c r="I127" s="3">
        <v>2237120695275</v>
      </c>
      <c r="J127" s="15">
        <f t="shared" si="4"/>
        <v>0.24551380086289162</v>
      </c>
    </row>
    <row r="128" spans="1:10" x14ac:dyDescent="0.25">
      <c r="A128" s="2" t="s">
        <v>63</v>
      </c>
      <c r="B128" s="12">
        <v>2021</v>
      </c>
      <c r="C128" s="3">
        <v>480060000000</v>
      </c>
      <c r="D128" s="3">
        <v>7777887000000</v>
      </c>
      <c r="E128" s="15">
        <f t="shared" ref="E128:E184" si="6">C128/D128</f>
        <v>6.1721133258942948E-2</v>
      </c>
      <c r="F128">
        <f t="shared" si="5"/>
        <v>6.1721133258942951</v>
      </c>
      <c r="H128" s="3">
        <v>480060000000</v>
      </c>
      <c r="I128" s="3">
        <v>4940631000000</v>
      </c>
      <c r="J128" s="15">
        <f t="shared" ref="J128:J184" si="7">H128/I128</f>
        <v>9.7165726402153901E-2</v>
      </c>
    </row>
    <row r="129" spans="1:10" x14ac:dyDescent="0.25">
      <c r="A129" s="2"/>
      <c r="B129" s="12">
        <v>2022</v>
      </c>
      <c r="C129" s="3">
        <v>313648000000</v>
      </c>
      <c r="D129" s="3">
        <v>8382538000000</v>
      </c>
      <c r="E129" s="15">
        <f t="shared" si="6"/>
        <v>3.7416830081772372E-2</v>
      </c>
      <c r="F129">
        <f t="shared" si="5"/>
        <v>3.7416830081772372</v>
      </c>
      <c r="H129" s="3">
        <v>313648000000</v>
      </c>
      <c r="I129" s="3">
        <v>5163753000000</v>
      </c>
      <c r="J129" s="15">
        <f t="shared" si="7"/>
        <v>6.0740318136828002E-2</v>
      </c>
    </row>
    <row r="130" spans="1:10" x14ac:dyDescent="0.25">
      <c r="A130" s="2"/>
      <c r="B130" s="12">
        <v>2023</v>
      </c>
      <c r="C130" s="3">
        <v>434532000000</v>
      </c>
      <c r="D130" s="3">
        <v>8487854000000</v>
      </c>
      <c r="E130" s="15">
        <f t="shared" si="6"/>
        <v>5.1194565787771561E-2</v>
      </c>
      <c r="F130">
        <f t="shared" si="5"/>
        <v>5.1194565787771564</v>
      </c>
      <c r="H130" s="3">
        <v>434532000000</v>
      </c>
      <c r="I130" s="3">
        <v>5563650000000</v>
      </c>
      <c r="J130" s="15">
        <f t="shared" si="7"/>
        <v>7.8101965436359222E-2</v>
      </c>
    </row>
    <row r="131" spans="1:10" x14ac:dyDescent="0.25">
      <c r="A131" s="2" t="s">
        <v>64</v>
      </c>
      <c r="B131" s="12">
        <v>2021</v>
      </c>
      <c r="C131" s="3">
        <v>259650288797</v>
      </c>
      <c r="D131" s="3">
        <v>1753240850009</v>
      </c>
      <c r="E131" s="15">
        <f t="shared" si="6"/>
        <v>0.14809733003635361</v>
      </c>
      <c r="F131">
        <f t="shared" ref="F131:F184" si="8">E131*100</f>
        <v>14.809733003635362</v>
      </c>
      <c r="H131" s="3">
        <v>259650288797</v>
      </c>
      <c r="I131" s="3">
        <v>781292859465</v>
      </c>
      <c r="J131" s="15">
        <f t="shared" si="7"/>
        <v>0.33233413777107701</v>
      </c>
    </row>
    <row r="132" spans="1:10" x14ac:dyDescent="0.25">
      <c r="A132" s="2"/>
      <c r="B132" s="12">
        <v>2022</v>
      </c>
      <c r="C132" s="3">
        <v>252406668731</v>
      </c>
      <c r="D132" s="3">
        <v>1835253997038</v>
      </c>
      <c r="E132" s="15">
        <f t="shared" si="6"/>
        <v>0.13753228116564281</v>
      </c>
      <c r="F132">
        <f t="shared" si="8"/>
        <v>13.753228116564282</v>
      </c>
      <c r="H132" s="3">
        <v>252406668731</v>
      </c>
      <c r="I132" s="3">
        <v>963111881039</v>
      </c>
      <c r="J132" s="15">
        <f t="shared" si="7"/>
        <v>0.26207408889889827</v>
      </c>
    </row>
    <row r="133" spans="1:10" x14ac:dyDescent="0.25">
      <c r="A133" s="2"/>
      <c r="B133" s="12">
        <v>2023</v>
      </c>
      <c r="C133" s="3">
        <v>146138989067</v>
      </c>
      <c r="D133" s="3">
        <v>1842857630843</v>
      </c>
      <c r="E133" s="15">
        <f t="shared" si="6"/>
        <v>7.9300205626926218E-2</v>
      </c>
      <c r="F133">
        <f t="shared" si="8"/>
        <v>7.9300205626926221</v>
      </c>
      <c r="H133" s="3">
        <v>146138989067</v>
      </c>
      <c r="I133" s="3">
        <v>1115171555082</v>
      </c>
      <c r="J133" s="15">
        <f t="shared" si="7"/>
        <v>0.13104619500113973</v>
      </c>
    </row>
    <row r="134" spans="1:10" x14ac:dyDescent="0.25">
      <c r="A134" s="2" t="s">
        <v>65</v>
      </c>
      <c r="B134" s="12">
        <v>2021</v>
      </c>
      <c r="C134" s="3">
        <v>351470000000</v>
      </c>
      <c r="D134" s="3">
        <v>6297287000000</v>
      </c>
      <c r="E134" s="15">
        <f t="shared" si="6"/>
        <v>5.5812923882935621E-2</v>
      </c>
      <c r="F134">
        <f t="shared" si="8"/>
        <v>5.5812923882935621</v>
      </c>
      <c r="H134" s="3">
        <v>351470000000</v>
      </c>
      <c r="I134" s="3">
        <v>5019381000000</v>
      </c>
      <c r="J134" s="15">
        <f t="shared" si="7"/>
        <v>7.0022578481290815E-2</v>
      </c>
    </row>
    <row r="135" spans="1:10" x14ac:dyDescent="0.25">
      <c r="A135" s="2"/>
      <c r="B135" s="12">
        <v>2022</v>
      </c>
      <c r="C135" s="3">
        <v>382105000000</v>
      </c>
      <c r="D135" s="3">
        <v>6878297000000</v>
      </c>
      <c r="E135" s="15">
        <f t="shared" si="6"/>
        <v>5.5552268243142161E-2</v>
      </c>
      <c r="F135">
        <f t="shared" si="8"/>
        <v>5.5552268243142162</v>
      </c>
      <c r="H135" s="3">
        <v>382105000000</v>
      </c>
      <c r="I135" s="3">
        <v>5411262000000</v>
      </c>
      <c r="J135" s="15">
        <f t="shared" si="7"/>
        <v>7.0612918021711019E-2</v>
      </c>
    </row>
    <row r="136" spans="1:10" x14ac:dyDescent="0.25">
      <c r="A136" s="2"/>
      <c r="B136" s="12">
        <v>2023</v>
      </c>
      <c r="C136" s="3">
        <v>319078000000</v>
      </c>
      <c r="D136" s="3">
        <v>7166880000000</v>
      </c>
      <c r="E136" s="15">
        <f t="shared" si="6"/>
        <v>4.4521186346080863E-2</v>
      </c>
      <c r="F136">
        <f t="shared" si="8"/>
        <v>4.4521186346080865</v>
      </c>
      <c r="H136" s="3">
        <v>319078000000</v>
      </c>
      <c r="I136" s="3">
        <v>5831732000000</v>
      </c>
      <c r="J136" s="15">
        <f t="shared" si="7"/>
        <v>5.4714105517880453E-2</v>
      </c>
    </row>
    <row r="137" spans="1:10" x14ac:dyDescent="0.25">
      <c r="A137" s="2" t="s">
        <v>66</v>
      </c>
      <c r="B137" s="12">
        <v>2021</v>
      </c>
      <c r="C137" s="3">
        <v>31335528055</v>
      </c>
      <c r="D137" s="3">
        <v>2497154377254</v>
      </c>
      <c r="E137" s="15">
        <f t="shared" si="6"/>
        <v>1.2548494534590275E-2</v>
      </c>
      <c r="F137">
        <f t="shared" si="8"/>
        <v>1.2548494534590275</v>
      </c>
      <c r="H137" s="3">
        <v>31335528055</v>
      </c>
      <c r="I137" s="3">
        <v>1541454252144</v>
      </c>
      <c r="J137" s="15">
        <f t="shared" si="7"/>
        <v>2.0328548843675114E-2</v>
      </c>
    </row>
    <row r="138" spans="1:10" x14ac:dyDescent="0.25">
      <c r="A138" s="2"/>
      <c r="B138" s="12">
        <v>2022</v>
      </c>
      <c r="C138" s="3">
        <v>167246545379</v>
      </c>
      <c r="D138" s="3">
        <v>2347517612881</v>
      </c>
      <c r="E138" s="15">
        <f t="shared" si="6"/>
        <v>7.1244000241491703E-2</v>
      </c>
      <c r="F138">
        <f t="shared" si="8"/>
        <v>7.1244000241491703</v>
      </c>
      <c r="H138" s="3">
        <v>167246545379</v>
      </c>
      <c r="I138" s="3">
        <v>1429166103716</v>
      </c>
      <c r="J138" s="15">
        <f t="shared" si="7"/>
        <v>0.11702386793539205</v>
      </c>
    </row>
    <row r="139" spans="1:10" x14ac:dyDescent="0.25">
      <c r="A139" s="2"/>
      <c r="B139" s="12">
        <v>2023</v>
      </c>
      <c r="C139" s="3">
        <v>108056587588</v>
      </c>
      <c r="D139" s="3">
        <v>2591476467270</v>
      </c>
      <c r="E139" s="15">
        <f t="shared" si="6"/>
        <v>4.1696920250961257E-2</v>
      </c>
      <c r="F139">
        <f t="shared" si="8"/>
        <v>4.1696920250961256</v>
      </c>
      <c r="H139" s="3">
        <v>108056587588</v>
      </c>
      <c r="I139" s="3">
        <v>1626074845771</v>
      </c>
      <c r="J139" s="15">
        <f t="shared" si="7"/>
        <v>6.645240707648066E-2</v>
      </c>
    </row>
    <row r="140" spans="1:10" x14ac:dyDescent="0.25">
      <c r="A140" s="2" t="s">
        <v>67</v>
      </c>
      <c r="B140" s="12">
        <v>2021</v>
      </c>
      <c r="C140" s="3">
        <v>407516031006</v>
      </c>
      <c r="D140" s="3">
        <v>7934144926261</v>
      </c>
      <c r="E140" s="15">
        <f t="shared" si="6"/>
        <v>5.1362312485265342E-2</v>
      </c>
      <c r="F140">
        <f t="shared" si="8"/>
        <v>5.136231248526534</v>
      </c>
      <c r="H140" s="3">
        <v>407516031006</v>
      </c>
      <c r="I140" s="3">
        <v>3185826608815</v>
      </c>
      <c r="J140" s="15">
        <f t="shared" si="7"/>
        <v>0.12791532027462715</v>
      </c>
    </row>
    <row r="141" spans="1:10" x14ac:dyDescent="0.25">
      <c r="A141" s="2"/>
      <c r="B141" s="12">
        <v>2022</v>
      </c>
      <c r="C141" s="3">
        <v>749310939262</v>
      </c>
      <c r="D141" s="3">
        <v>8624008934687</v>
      </c>
      <c r="E141" s="15">
        <f t="shared" si="6"/>
        <v>8.6886614443100127E-2</v>
      </c>
      <c r="F141">
        <f t="shared" si="8"/>
        <v>8.6886614443100125</v>
      </c>
      <c r="H141" s="3">
        <v>749310939262</v>
      </c>
      <c r="I141" s="3">
        <v>3899011991141</v>
      </c>
      <c r="J141" s="15">
        <f t="shared" si="7"/>
        <v>0.1921796960267165</v>
      </c>
    </row>
    <row r="142" spans="1:10" x14ac:dyDescent="0.25">
      <c r="A142" s="2"/>
      <c r="B142" s="12">
        <v>2023</v>
      </c>
      <c r="C142" s="3">
        <v>161679000832</v>
      </c>
      <c r="D142" s="3">
        <v>8634035445735</v>
      </c>
      <c r="E142" s="15">
        <f t="shared" si="6"/>
        <v>1.8725774505809496E-2</v>
      </c>
      <c r="F142">
        <f t="shared" si="8"/>
        <v>1.8725774505809496</v>
      </c>
      <c r="H142" s="3">
        <v>161679000832</v>
      </c>
      <c r="I142" s="3">
        <v>4063648978866</v>
      </c>
      <c r="J142" s="15">
        <f t="shared" si="7"/>
        <v>3.9786655213787207E-2</v>
      </c>
    </row>
    <row r="143" spans="1:10" x14ac:dyDescent="0.25">
      <c r="A143" s="2" t="s">
        <v>68</v>
      </c>
      <c r="B143" s="12">
        <v>2021</v>
      </c>
      <c r="C143" s="3">
        <v>1198747000000</v>
      </c>
      <c r="D143" s="3">
        <v>12446326000000</v>
      </c>
      <c r="E143" s="15">
        <f t="shared" si="6"/>
        <v>9.6313321698306795E-2</v>
      </c>
      <c r="F143">
        <f t="shared" si="8"/>
        <v>9.6313321698306797</v>
      </c>
      <c r="H143" s="3">
        <v>1198747000000</v>
      </c>
      <c r="I143" s="3">
        <v>7796011000000</v>
      </c>
      <c r="J143" s="15">
        <f t="shared" si="7"/>
        <v>0.15376414938357577</v>
      </c>
    </row>
    <row r="144" spans="1:10" x14ac:dyDescent="0.25">
      <c r="A144" s="2"/>
      <c r="B144" s="12">
        <v>2022</v>
      </c>
      <c r="C144" s="3">
        <v>3088745000000</v>
      </c>
      <c r="D144" s="3">
        <v>14526124000000</v>
      </c>
      <c r="E144" s="15">
        <f t="shared" si="6"/>
        <v>0.21263380375935109</v>
      </c>
      <c r="F144">
        <f t="shared" si="8"/>
        <v>21.26338037593511</v>
      </c>
      <c r="H144" s="3">
        <v>3088745000000</v>
      </c>
      <c r="I144" s="3">
        <v>10412744000000</v>
      </c>
      <c r="J144" s="15">
        <f t="shared" si="7"/>
        <v>0.2966312241998843</v>
      </c>
    </row>
    <row r="145" spans="1:10" x14ac:dyDescent="0.25">
      <c r="A145" s="2"/>
      <c r="B145" s="12">
        <v>2023</v>
      </c>
      <c r="C145" s="3">
        <v>1661258000000</v>
      </c>
      <c r="D145" s="3">
        <v>13867387000000</v>
      </c>
      <c r="E145" s="15">
        <f t="shared" si="6"/>
        <v>0.11979603655685098</v>
      </c>
      <c r="F145">
        <f t="shared" si="8"/>
        <v>11.979603655685098</v>
      </c>
      <c r="H145" s="3">
        <v>1661258000000</v>
      </c>
      <c r="I145" s="3">
        <v>11339540000000</v>
      </c>
      <c r="J145" s="15">
        <f t="shared" si="7"/>
        <v>0.14650135719791102</v>
      </c>
    </row>
    <row r="146" spans="1:10" x14ac:dyDescent="0.25">
      <c r="A146" s="2" t="s">
        <v>69</v>
      </c>
      <c r="B146" s="12">
        <v>2021</v>
      </c>
      <c r="C146" s="3">
        <v>790229000000</v>
      </c>
      <c r="D146" s="3">
        <v>5603779000000</v>
      </c>
      <c r="E146" s="15">
        <f t="shared" si="6"/>
        <v>0.14101716002718878</v>
      </c>
      <c r="F146">
        <f t="shared" si="8"/>
        <v>14.101716002718877</v>
      </c>
      <c r="H146" s="3">
        <v>790229000000</v>
      </c>
      <c r="I146" s="3">
        <v>4696939000000</v>
      </c>
      <c r="J146" s="15">
        <f t="shared" si="7"/>
        <v>0.16824340277785171</v>
      </c>
    </row>
    <row r="147" spans="1:10" x14ac:dyDescent="0.25">
      <c r="A147" s="2"/>
      <c r="B147" s="12">
        <v>2022</v>
      </c>
      <c r="C147" s="3">
        <v>1060582000000</v>
      </c>
      <c r="D147" s="3">
        <v>6223251000000</v>
      </c>
      <c r="E147" s="15">
        <f t="shared" si="6"/>
        <v>0.17042250103683751</v>
      </c>
      <c r="F147">
        <f t="shared" si="8"/>
        <v>17.042250103683752</v>
      </c>
      <c r="H147" s="3">
        <v>1060582000000</v>
      </c>
      <c r="I147" s="3">
        <v>5258332000000</v>
      </c>
      <c r="J147" s="15">
        <f t="shared" si="7"/>
        <v>0.2016955186549651</v>
      </c>
    </row>
    <row r="148" spans="1:10" x14ac:dyDescent="0.25">
      <c r="A148" s="2"/>
      <c r="B148" s="12">
        <v>2023</v>
      </c>
      <c r="C148" s="3">
        <v>1241780000000</v>
      </c>
      <c r="D148" s="3">
        <v>7046857000000</v>
      </c>
      <c r="E148" s="15">
        <f t="shared" si="6"/>
        <v>0.17621756763334348</v>
      </c>
      <c r="F148">
        <f t="shared" si="8"/>
        <v>17.621756763334346</v>
      </c>
      <c r="H148" s="3">
        <v>1241780000000</v>
      </c>
      <c r="I148" s="3">
        <v>5941328000000</v>
      </c>
      <c r="J148" s="15">
        <f t="shared" si="7"/>
        <v>0.20900714453065039</v>
      </c>
    </row>
    <row r="149" spans="1:10" x14ac:dyDescent="0.25">
      <c r="A149" s="2" t="s">
        <v>70</v>
      </c>
      <c r="B149" s="12">
        <v>2021</v>
      </c>
      <c r="C149" s="3">
        <v>2915091000</v>
      </c>
      <c r="D149" s="3">
        <v>284301347000</v>
      </c>
      <c r="E149" s="15">
        <f t="shared" si="6"/>
        <v>1.0253525109045649E-2</v>
      </c>
      <c r="F149">
        <f t="shared" si="8"/>
        <v>1.0253525109045649</v>
      </c>
      <c r="H149" s="3">
        <v>2915091000</v>
      </c>
      <c r="I149" s="3">
        <v>278923096000</v>
      </c>
      <c r="J149" s="15">
        <f t="shared" si="7"/>
        <v>1.0451235633782009E-2</v>
      </c>
    </row>
    <row r="150" spans="1:10" x14ac:dyDescent="0.25">
      <c r="A150" s="2"/>
      <c r="B150" s="12">
        <v>2022</v>
      </c>
      <c r="C150" s="3">
        <v>3564619000</v>
      </c>
      <c r="D150" s="3">
        <v>290584130000</v>
      </c>
      <c r="E150" s="15">
        <f t="shared" si="6"/>
        <v>1.2267080793434934E-2</v>
      </c>
      <c r="F150">
        <f t="shared" si="8"/>
        <v>1.2267080793434935</v>
      </c>
      <c r="H150" s="3">
        <v>3564619000</v>
      </c>
      <c r="I150" s="3">
        <v>282456106000</v>
      </c>
      <c r="J150" s="15">
        <f t="shared" si="7"/>
        <v>1.2620081224230997E-2</v>
      </c>
    </row>
    <row r="151" spans="1:10" x14ac:dyDescent="0.25">
      <c r="A151" s="2"/>
      <c r="B151" s="12">
        <v>2023</v>
      </c>
      <c r="C151" s="3">
        <v>3861987000</v>
      </c>
      <c r="D151" s="3">
        <v>301272376000</v>
      </c>
      <c r="E151" s="15">
        <f t="shared" si="6"/>
        <v>1.2818921705586442E-2</v>
      </c>
      <c r="F151">
        <f t="shared" si="8"/>
        <v>1.2818921705586441</v>
      </c>
      <c r="H151" s="3">
        <v>3861987000</v>
      </c>
      <c r="I151" s="3">
        <v>286276184000</v>
      </c>
      <c r="J151" s="15">
        <f t="shared" si="7"/>
        <v>1.3490423639292327E-2</v>
      </c>
    </row>
    <row r="152" spans="1:10" x14ac:dyDescent="0.25">
      <c r="A152" s="2" t="s">
        <v>71</v>
      </c>
      <c r="B152" s="12">
        <v>2021</v>
      </c>
      <c r="C152" s="3">
        <v>1239313000000</v>
      </c>
      <c r="D152" s="3">
        <v>5858580000000</v>
      </c>
      <c r="E152" s="15">
        <f t="shared" si="6"/>
        <v>0.21153812015880982</v>
      </c>
      <c r="F152">
        <f t="shared" si="8"/>
        <v>21.153812015880984</v>
      </c>
      <c r="H152" s="3">
        <v>1239313000000</v>
      </c>
      <c r="I152" s="3">
        <v>3098118000000</v>
      </c>
      <c r="J152" s="15">
        <f t="shared" si="7"/>
        <v>0.40002123870039813</v>
      </c>
    </row>
    <row r="153" spans="1:10" x14ac:dyDescent="0.25">
      <c r="A153" s="2"/>
      <c r="B153" s="12">
        <v>2022</v>
      </c>
      <c r="C153" s="3">
        <v>1280861000000</v>
      </c>
      <c r="D153" s="3">
        <v>7012183000000</v>
      </c>
      <c r="E153" s="15">
        <f t="shared" si="6"/>
        <v>0.18266223228914591</v>
      </c>
      <c r="F153">
        <f t="shared" si="8"/>
        <v>18.26622322891459</v>
      </c>
      <c r="H153" s="3">
        <v>1280861000000</v>
      </c>
      <c r="I153" s="3">
        <v>4643310000000</v>
      </c>
      <c r="J153" s="15">
        <f t="shared" si="7"/>
        <v>0.27585084777884744</v>
      </c>
    </row>
    <row r="154" spans="1:10" x14ac:dyDescent="0.25">
      <c r="A154" s="2"/>
      <c r="B154" s="12">
        <v>2023</v>
      </c>
      <c r="C154" s="3">
        <v>782252000000</v>
      </c>
      <c r="D154" s="3">
        <v>6681163000000</v>
      </c>
      <c r="E154" s="15">
        <f t="shared" si="6"/>
        <v>0.11708320841745666</v>
      </c>
      <c r="F154">
        <f t="shared" si="8"/>
        <v>11.708320841745666</v>
      </c>
      <c r="H154" s="3">
        <v>782252000000</v>
      </c>
      <c r="I154" s="3">
        <v>4803678000000</v>
      </c>
      <c r="J154" s="15">
        <f t="shared" si="7"/>
        <v>0.16284438715500915</v>
      </c>
    </row>
    <row r="155" spans="1:10" x14ac:dyDescent="0.25">
      <c r="A155" s="1" t="s">
        <v>28</v>
      </c>
      <c r="B155" s="12">
        <v>2021</v>
      </c>
      <c r="C155" s="3">
        <v>475983374390</v>
      </c>
      <c r="D155" s="3">
        <v>2243523072803</v>
      </c>
      <c r="E155" s="15">
        <f t="shared" si="6"/>
        <v>0.21215889426771914</v>
      </c>
      <c r="F155">
        <f t="shared" si="8"/>
        <v>21.215889426771913</v>
      </c>
      <c r="H155" s="3">
        <v>475983374390</v>
      </c>
      <c r="I155" s="3">
        <v>1573169882477</v>
      </c>
      <c r="J155" s="15">
        <f t="shared" si="7"/>
        <v>0.30256323852357947</v>
      </c>
    </row>
    <row r="156" spans="1:10" x14ac:dyDescent="0.25">
      <c r="A156" s="1"/>
      <c r="B156" s="12">
        <v>2022</v>
      </c>
      <c r="C156" s="3">
        <v>581557410601</v>
      </c>
      <c r="D156" s="3">
        <v>2578868615545</v>
      </c>
      <c r="E156" s="15">
        <f t="shared" si="6"/>
        <v>0.22550873941210756</v>
      </c>
      <c r="F156">
        <f t="shared" si="8"/>
        <v>22.550873941210757</v>
      </c>
      <c r="H156" s="3">
        <v>581557410601</v>
      </c>
      <c r="I156" s="3">
        <v>1833173357237</v>
      </c>
      <c r="J156" s="15">
        <f t="shared" si="7"/>
        <v>0.31724081538995108</v>
      </c>
    </row>
    <row r="157" spans="1:10" x14ac:dyDescent="0.25">
      <c r="A157" s="1"/>
      <c r="B157" s="12">
        <v>2023</v>
      </c>
      <c r="C157" s="3">
        <v>449080121387</v>
      </c>
      <c r="D157" s="3">
        <v>2620491657384</v>
      </c>
      <c r="E157" s="15">
        <f t="shared" si="6"/>
        <v>0.17137246749921364</v>
      </c>
      <c r="F157">
        <f t="shared" si="8"/>
        <v>17.137246749921363</v>
      </c>
      <c r="H157" s="3">
        <v>449080121387</v>
      </c>
      <c r="I157" s="3">
        <v>1855036456226</v>
      </c>
      <c r="J157" s="15">
        <f t="shared" si="7"/>
        <v>0.24208695191933649</v>
      </c>
    </row>
    <row r="158" spans="1:10" x14ac:dyDescent="0.25">
      <c r="A158" s="1" t="s">
        <v>29</v>
      </c>
      <c r="B158" s="12">
        <v>2021</v>
      </c>
      <c r="C158" s="3">
        <v>87311000000</v>
      </c>
      <c r="D158" s="3">
        <v>2655278000000</v>
      </c>
      <c r="E158" s="15">
        <f t="shared" si="6"/>
        <v>3.2882056040836403E-2</v>
      </c>
      <c r="F158">
        <f t="shared" si="8"/>
        <v>3.2882056040836405</v>
      </c>
      <c r="H158" s="3">
        <v>87311000000</v>
      </c>
      <c r="I158" s="3">
        <v>1627653000000</v>
      </c>
      <c r="J158" s="15">
        <f t="shared" si="7"/>
        <v>5.3642268960275928E-2</v>
      </c>
    </row>
    <row r="159" spans="1:10" x14ac:dyDescent="0.25">
      <c r="A159" s="1"/>
      <c r="B159" s="12">
        <v>2022</v>
      </c>
      <c r="C159" s="3">
        <v>97071000000</v>
      </c>
      <c r="D159" s="3">
        <v>2677651000000</v>
      </c>
      <c r="E159" s="15">
        <f t="shared" si="6"/>
        <v>3.6252297256065109E-2</v>
      </c>
      <c r="F159">
        <f t="shared" si="8"/>
        <v>3.6252297256065109</v>
      </c>
      <c r="H159" s="3">
        <v>97071000000</v>
      </c>
      <c r="I159" s="3">
        <v>1693222000000</v>
      </c>
      <c r="J159" s="15">
        <f t="shared" si="7"/>
        <v>5.732916298040068E-2</v>
      </c>
    </row>
    <row r="160" spans="1:10" x14ac:dyDescent="0.25">
      <c r="A160" s="1"/>
      <c r="B160" s="12">
        <v>2023</v>
      </c>
      <c r="C160" s="3">
        <v>141073000000</v>
      </c>
      <c r="D160" s="3">
        <v>2682813000000</v>
      </c>
      <c r="E160" s="15">
        <f t="shared" si="6"/>
        <v>5.258398554055016E-2</v>
      </c>
      <c r="F160">
        <f t="shared" si="8"/>
        <v>5.2583985540550158</v>
      </c>
      <c r="H160" s="3">
        <v>141073000000</v>
      </c>
      <c r="I160" s="3">
        <v>1791902000000</v>
      </c>
      <c r="J160" s="15">
        <f t="shared" si="7"/>
        <v>7.8728077763181248E-2</v>
      </c>
    </row>
    <row r="161" spans="1:10" x14ac:dyDescent="0.25">
      <c r="A161" s="1" t="s">
        <v>30</v>
      </c>
      <c r="B161" s="12">
        <v>2021</v>
      </c>
      <c r="C161" s="3">
        <v>25586000000000</v>
      </c>
      <c r="D161" s="3">
        <v>367311000000000</v>
      </c>
      <c r="E161" s="15">
        <f t="shared" si="6"/>
        <v>6.9657592612255015E-2</v>
      </c>
      <c r="F161">
        <f t="shared" si="8"/>
        <v>6.9657592612255019</v>
      </c>
      <c r="H161" s="3">
        <v>25586000000000</v>
      </c>
      <c r="I161" s="3">
        <v>215615000000000</v>
      </c>
      <c r="J161" s="15">
        <f t="shared" si="7"/>
        <v>0.11866521345917491</v>
      </c>
    </row>
    <row r="162" spans="1:10" x14ac:dyDescent="0.25">
      <c r="A162" s="1"/>
      <c r="B162" s="12">
        <v>2022</v>
      </c>
      <c r="C162" s="3">
        <v>40420000000000</v>
      </c>
      <c r="D162" s="3">
        <v>413297000000000</v>
      </c>
      <c r="E162" s="15">
        <f t="shared" si="6"/>
        <v>9.779891942114266E-2</v>
      </c>
      <c r="F162">
        <f t="shared" si="8"/>
        <v>9.7798919421142667</v>
      </c>
      <c r="H162" s="3">
        <v>40420000000000</v>
      </c>
      <c r="I162" s="3">
        <v>243720000000000</v>
      </c>
      <c r="J162" s="15">
        <f t="shared" si="7"/>
        <v>0.16584605284752996</v>
      </c>
    </row>
    <row r="163" spans="1:10" x14ac:dyDescent="0.25">
      <c r="A163" s="1"/>
      <c r="B163" s="12">
        <v>2023</v>
      </c>
      <c r="C163" s="3">
        <v>44501000000000</v>
      </c>
      <c r="D163" s="3">
        <v>445679000000000</v>
      </c>
      <c r="E163" s="15">
        <f t="shared" si="6"/>
        <v>9.9849891962600884E-2</v>
      </c>
      <c r="F163">
        <f t="shared" si="8"/>
        <v>9.9849891962600879</v>
      </c>
      <c r="H163" s="3">
        <v>44501000000000</v>
      </c>
      <c r="I163" s="3">
        <v>250418000000000</v>
      </c>
      <c r="J163" s="15">
        <f t="shared" si="7"/>
        <v>0.17770687410649394</v>
      </c>
    </row>
    <row r="164" spans="1:10" x14ac:dyDescent="0.25">
      <c r="A164" s="1" t="s">
        <v>31</v>
      </c>
      <c r="B164" s="12">
        <v>2021</v>
      </c>
      <c r="C164" s="3">
        <v>2537845000000</v>
      </c>
      <c r="D164" s="3">
        <v>63451383000000</v>
      </c>
      <c r="E164" s="15">
        <f t="shared" si="6"/>
        <v>3.9996685336236092E-2</v>
      </c>
      <c r="F164">
        <f t="shared" si="8"/>
        <v>3.9996685336236091</v>
      </c>
      <c r="H164" s="3">
        <v>2537845000000</v>
      </c>
      <c r="I164" s="3">
        <v>36293600000000</v>
      </c>
      <c r="J164" s="15">
        <f t="shared" si="7"/>
        <v>6.9925413847069462E-2</v>
      </c>
    </row>
    <row r="165" spans="1:10" x14ac:dyDescent="0.25">
      <c r="A165" s="1"/>
      <c r="B165" s="12">
        <v>2022</v>
      </c>
      <c r="C165" s="3">
        <v>2682220000000</v>
      </c>
      <c r="D165" s="3">
        <v>69099804000000</v>
      </c>
      <c r="E165" s="15">
        <f t="shared" si="6"/>
        <v>3.8816607931333638E-2</v>
      </c>
      <c r="F165">
        <f t="shared" si="8"/>
        <v>3.881660793133364</v>
      </c>
      <c r="H165" s="3">
        <v>2682220000000</v>
      </c>
      <c r="I165" s="3">
        <v>39432248000000</v>
      </c>
      <c r="J165" s="15">
        <f t="shared" si="7"/>
        <v>6.8020976131008312E-2</v>
      </c>
    </row>
    <row r="166" spans="1:10" x14ac:dyDescent="0.25">
      <c r="A166" s="1"/>
      <c r="B166" s="12">
        <v>2023</v>
      </c>
      <c r="C166" s="3">
        <v>1233473000000</v>
      </c>
      <c r="D166" s="3">
        <v>70408946000000</v>
      </c>
      <c r="E166" s="15">
        <f t="shared" si="6"/>
        <v>1.7518697126924752E-2</v>
      </c>
      <c r="F166">
        <f t="shared" si="8"/>
        <v>1.7518697126924752</v>
      </c>
      <c r="H166" s="3">
        <v>1233473000000</v>
      </c>
      <c r="I166" s="3">
        <v>41383259000000</v>
      </c>
      <c r="J166" s="15">
        <f t="shared" si="7"/>
        <v>2.9806086562684683E-2</v>
      </c>
    </row>
    <row r="167" spans="1:10" x14ac:dyDescent="0.25">
      <c r="A167" s="1" t="s">
        <v>32</v>
      </c>
      <c r="B167" s="12">
        <v>2021</v>
      </c>
      <c r="C167" s="3">
        <v>188611979146</v>
      </c>
      <c r="D167" s="3">
        <v>2858166022131</v>
      </c>
      <c r="E167" s="15">
        <f t="shared" si="6"/>
        <v>6.599056097006363E-2</v>
      </c>
      <c r="F167">
        <f t="shared" si="8"/>
        <v>6.599056097006363</v>
      </c>
      <c r="H167" s="3">
        <v>188611979146</v>
      </c>
      <c r="I167" s="3">
        <v>1688362494886</v>
      </c>
      <c r="J167" s="15">
        <f t="shared" si="7"/>
        <v>0.11171296431737858</v>
      </c>
    </row>
    <row r="168" spans="1:10" x14ac:dyDescent="0.25">
      <c r="A168" s="1"/>
      <c r="B168" s="12">
        <v>2022</v>
      </c>
      <c r="C168" s="3">
        <v>312502049594</v>
      </c>
      <c r="D168" s="3">
        <v>3435475875401</v>
      </c>
      <c r="E168" s="15">
        <f t="shared" si="6"/>
        <v>9.0963249613133651E-2</v>
      </c>
      <c r="F168">
        <f t="shared" si="8"/>
        <v>9.0963249613133659</v>
      </c>
      <c r="H168" s="3">
        <v>312502049594</v>
      </c>
      <c r="I168" s="3">
        <v>2224729775954</v>
      </c>
      <c r="J168" s="15">
        <f t="shared" si="7"/>
        <v>0.14046741899698542</v>
      </c>
    </row>
    <row r="169" spans="1:10" x14ac:dyDescent="0.25">
      <c r="A169" s="1"/>
      <c r="B169" s="12">
        <v>2023</v>
      </c>
      <c r="C169" s="3">
        <v>440542975412</v>
      </c>
      <c r="D169" s="3">
        <v>3597041437692</v>
      </c>
      <c r="E169" s="15">
        <f t="shared" si="6"/>
        <v>0.12247370041271176</v>
      </c>
      <c r="F169">
        <f t="shared" si="8"/>
        <v>12.247370041271175</v>
      </c>
      <c r="H169" s="3">
        <v>440542975412</v>
      </c>
      <c r="I169" s="3">
        <v>2487649831619</v>
      </c>
      <c r="J169" s="15">
        <f t="shared" si="7"/>
        <v>0.17709203675393814</v>
      </c>
    </row>
    <row r="170" spans="1:10" x14ac:dyDescent="0.25">
      <c r="A170" s="1" t="s">
        <v>33</v>
      </c>
      <c r="B170" s="12">
        <v>2021</v>
      </c>
      <c r="C170" s="3">
        <v>25160193681</v>
      </c>
      <c r="D170" s="3">
        <v>340216666768</v>
      </c>
      <c r="E170" s="15">
        <f t="shared" si="6"/>
        <v>7.3953442434250879E-2</v>
      </c>
      <c r="F170">
        <f t="shared" si="8"/>
        <v>7.3953442434250878</v>
      </c>
      <c r="H170" s="3">
        <v>25160193681</v>
      </c>
      <c r="I170" s="3">
        <v>115058135268</v>
      </c>
      <c r="J170" s="15">
        <f t="shared" si="7"/>
        <v>0.218673748035247</v>
      </c>
    </row>
    <row r="171" spans="1:10" x14ac:dyDescent="0.25">
      <c r="A171" s="1"/>
      <c r="B171" s="12">
        <v>2022</v>
      </c>
      <c r="C171" s="3">
        <v>24044260651</v>
      </c>
      <c r="D171" s="3">
        <v>363417648503</v>
      </c>
      <c r="E171" s="15">
        <f t="shared" si="6"/>
        <v>6.6161510730268006E-2</v>
      </c>
      <c r="F171">
        <f t="shared" si="8"/>
        <v>6.6161510730268009</v>
      </c>
      <c r="H171" s="3">
        <v>24044260651</v>
      </c>
      <c r="I171" s="3">
        <v>121750008979</v>
      </c>
      <c r="J171" s="15">
        <f t="shared" si="7"/>
        <v>0.19748877928335318</v>
      </c>
    </row>
    <row r="172" spans="1:10" x14ac:dyDescent="0.25">
      <c r="A172" s="1"/>
      <c r="B172" s="12">
        <v>2023</v>
      </c>
      <c r="C172" s="3">
        <v>28145515198</v>
      </c>
      <c r="D172" s="3">
        <v>354412830081</v>
      </c>
      <c r="E172" s="15">
        <f t="shared" si="6"/>
        <v>7.9414492956046273E-2</v>
      </c>
      <c r="F172">
        <f t="shared" si="8"/>
        <v>7.9414492956046274</v>
      </c>
      <c r="H172" s="3">
        <v>28145515198</v>
      </c>
      <c r="I172" s="3">
        <v>129202288997</v>
      </c>
      <c r="J172" s="15">
        <f t="shared" si="7"/>
        <v>0.21784068545916802</v>
      </c>
    </row>
    <row r="173" spans="1:10" x14ac:dyDescent="0.25">
      <c r="A173" s="1" t="s">
        <v>34</v>
      </c>
      <c r="B173" s="12">
        <v>2021</v>
      </c>
      <c r="C173" s="3">
        <v>156736391742</v>
      </c>
      <c r="D173" s="3">
        <v>3236330922409</v>
      </c>
      <c r="E173" s="15">
        <f t="shared" si="6"/>
        <v>4.8430273510266207E-2</v>
      </c>
      <c r="F173">
        <f t="shared" si="8"/>
        <v>4.8430273510266204</v>
      </c>
      <c r="H173" s="3">
        <v>156736391742</v>
      </c>
      <c r="I173" s="3">
        <v>2127840895748</v>
      </c>
      <c r="J173" s="15">
        <f t="shared" si="7"/>
        <v>7.3659826754529242E-2</v>
      </c>
    </row>
    <row r="174" spans="1:10" x14ac:dyDescent="0.25">
      <c r="A174" s="1"/>
      <c r="B174" s="12">
        <v>2022</v>
      </c>
      <c r="C174" s="3">
        <v>313410762339</v>
      </c>
      <c r="D174" s="3">
        <v>3304972191991</v>
      </c>
      <c r="E174" s="15">
        <f t="shared" si="6"/>
        <v>9.4830075453734244E-2</v>
      </c>
      <c r="F174">
        <f t="shared" si="8"/>
        <v>9.4830075453734253</v>
      </c>
      <c r="H174" s="3">
        <v>313410762339</v>
      </c>
      <c r="I174" s="3">
        <v>2302761450906</v>
      </c>
      <c r="J174" s="15">
        <f t="shared" si="7"/>
        <v>0.13610214041740687</v>
      </c>
    </row>
    <row r="175" spans="1:10" x14ac:dyDescent="0.25">
      <c r="A175" s="1"/>
      <c r="B175" s="12">
        <v>2023</v>
      </c>
      <c r="C175" s="3">
        <v>242417754641</v>
      </c>
      <c r="D175" s="3">
        <v>3333890799976</v>
      </c>
      <c r="E175" s="15">
        <f t="shared" si="6"/>
        <v>7.2713165842967956E-2</v>
      </c>
      <c r="F175">
        <f t="shared" si="8"/>
        <v>7.2713165842967955</v>
      </c>
      <c r="H175" s="3">
        <v>242417754641</v>
      </c>
      <c r="I175" s="3">
        <v>2351397318568</v>
      </c>
      <c r="J175" s="15">
        <f t="shared" si="7"/>
        <v>0.10309519056040785</v>
      </c>
    </row>
    <row r="176" spans="1:10" x14ac:dyDescent="0.25">
      <c r="A176" s="1" t="s">
        <v>35</v>
      </c>
      <c r="B176" s="12">
        <v>2021</v>
      </c>
      <c r="C176" s="3">
        <v>10608267000000</v>
      </c>
      <c r="D176" s="3">
        <v>112561356000000</v>
      </c>
      <c r="E176" s="15">
        <f t="shared" si="6"/>
        <v>9.4244307078176992E-2</v>
      </c>
      <c r="F176">
        <f t="shared" si="8"/>
        <v>9.4244307078176988</v>
      </c>
      <c r="H176" s="3">
        <v>10608267000000</v>
      </c>
      <c r="I176" s="3">
        <v>71822757000000</v>
      </c>
      <c r="J176" s="15">
        <f t="shared" si="7"/>
        <v>0.14770063755697932</v>
      </c>
    </row>
    <row r="177" spans="1:10" x14ac:dyDescent="0.25">
      <c r="A177" s="1"/>
      <c r="B177" s="12">
        <v>2022</v>
      </c>
      <c r="C177" s="3">
        <v>22993673000000</v>
      </c>
      <c r="D177" s="3">
        <v>140478220000000</v>
      </c>
      <c r="E177" s="15">
        <f t="shared" si="6"/>
        <v>0.16368140911808252</v>
      </c>
      <c r="F177">
        <f t="shared" si="8"/>
        <v>16.368140911808251</v>
      </c>
      <c r="H177" s="3">
        <v>22993673000000</v>
      </c>
      <c r="I177" s="3">
        <v>89513825000000</v>
      </c>
      <c r="J177" s="15">
        <f t="shared" si="7"/>
        <v>0.25687286852058888</v>
      </c>
    </row>
    <row r="178" spans="1:10" x14ac:dyDescent="0.25">
      <c r="A178" s="1"/>
      <c r="B178" s="12">
        <v>2023</v>
      </c>
      <c r="C178" s="3">
        <v>22130096000000</v>
      </c>
      <c r="D178" s="3">
        <v>154028248000000</v>
      </c>
      <c r="E178" s="15">
        <f t="shared" si="6"/>
        <v>0.14367556787375779</v>
      </c>
      <c r="F178">
        <f t="shared" si="8"/>
        <v>14.367556787375779</v>
      </c>
      <c r="H178" s="3">
        <v>22130096000000</v>
      </c>
      <c r="I178" s="3">
        <v>84035563000000</v>
      </c>
      <c r="J178" s="15">
        <f t="shared" si="7"/>
        <v>0.26334203294383829</v>
      </c>
    </row>
    <row r="179" spans="1:10" x14ac:dyDescent="0.25">
      <c r="A179" s="1" t="s">
        <v>36</v>
      </c>
      <c r="B179" s="12">
        <v>2021</v>
      </c>
      <c r="C179" s="3">
        <v>223780364408</v>
      </c>
      <c r="D179" s="3">
        <v>3143458650849</v>
      </c>
      <c r="E179" s="15">
        <f t="shared" si="6"/>
        <v>7.1189218394064238E-2</v>
      </c>
      <c r="F179">
        <f t="shared" si="8"/>
        <v>7.1189218394064238</v>
      </c>
      <c r="H179" s="3">
        <v>223780364408</v>
      </c>
      <c r="I179" s="3">
        <v>2052866903362</v>
      </c>
      <c r="J179" s="15">
        <f t="shared" si="7"/>
        <v>0.10900870584523173</v>
      </c>
    </row>
    <row r="180" spans="1:10" x14ac:dyDescent="0.25">
      <c r="A180" s="1"/>
      <c r="B180" s="12">
        <v>2022</v>
      </c>
      <c r="C180" s="3">
        <v>225044549724</v>
      </c>
      <c r="D180" s="3">
        <v>3116150805162</v>
      </c>
      <c r="E180" s="15">
        <f t="shared" si="6"/>
        <v>7.2218760835068299E-2</v>
      </c>
      <c r="F180">
        <f t="shared" si="8"/>
        <v>7.2218760835068299</v>
      </c>
      <c r="H180" s="3">
        <v>225044549724</v>
      </c>
      <c r="I180" s="3">
        <v>2107640326367</v>
      </c>
      <c r="J180" s="15">
        <f t="shared" si="7"/>
        <v>0.10677559491942144</v>
      </c>
    </row>
    <row r="181" spans="1:10" x14ac:dyDescent="0.25">
      <c r="A181" s="1"/>
      <c r="B181" s="12">
        <v>2023</v>
      </c>
      <c r="C181" s="3">
        <v>274951561683</v>
      </c>
      <c r="D181" s="3">
        <v>3237655784669</v>
      </c>
      <c r="E181" s="15">
        <f t="shared" si="6"/>
        <v>8.49230369037237E-2</v>
      </c>
      <c r="F181">
        <f t="shared" si="8"/>
        <v>8.4923036903723705</v>
      </c>
      <c r="H181" s="3">
        <v>274951561683</v>
      </c>
      <c r="I181" s="3">
        <v>2229593055850</v>
      </c>
      <c r="J181" s="15">
        <f t="shared" si="7"/>
        <v>0.12331916847407776</v>
      </c>
    </row>
    <row r="182" spans="1:10" x14ac:dyDescent="0.25">
      <c r="A182" s="1" t="s">
        <v>37</v>
      </c>
      <c r="B182" s="12">
        <v>2021</v>
      </c>
      <c r="C182" s="3">
        <v>3442039458</v>
      </c>
      <c r="D182" s="3">
        <v>463343986900</v>
      </c>
      <c r="E182" s="15">
        <f t="shared" si="6"/>
        <v>7.4286913293705251E-3</v>
      </c>
      <c r="F182">
        <f t="shared" si="8"/>
        <v>0.74286913293705248</v>
      </c>
      <c r="H182" s="3">
        <v>3442039458</v>
      </c>
      <c r="I182" s="3">
        <v>94988278804</v>
      </c>
      <c r="J182" s="15">
        <f t="shared" si="7"/>
        <v>3.6236465186429444E-2</v>
      </c>
    </row>
    <row r="183" spans="1:10" x14ac:dyDescent="0.25">
      <c r="A183" s="1"/>
      <c r="B183" s="12">
        <v>2022</v>
      </c>
      <c r="C183" s="14">
        <v>6110063988</v>
      </c>
      <c r="D183" s="14">
        <v>480584345100</v>
      </c>
      <c r="E183" s="15">
        <f t="shared" si="6"/>
        <v>1.271382235043178E-2</v>
      </c>
      <c r="F183">
        <f t="shared" si="8"/>
        <v>1.271382235043178</v>
      </c>
      <c r="H183" s="14">
        <v>6110063988</v>
      </c>
      <c r="I183" s="14">
        <v>101089427041</v>
      </c>
      <c r="J183" s="15">
        <f t="shared" si="7"/>
        <v>6.0442166573185456E-2</v>
      </c>
    </row>
    <row r="184" spans="1:10" x14ac:dyDescent="0.25">
      <c r="A184" s="1"/>
      <c r="B184" s="12">
        <v>2023</v>
      </c>
      <c r="C184" s="3">
        <v>10159997069</v>
      </c>
      <c r="D184" s="3">
        <v>452886922243</v>
      </c>
      <c r="E184" s="15">
        <f t="shared" si="6"/>
        <v>2.2433849532861042E-2</v>
      </c>
      <c r="F184">
        <f t="shared" si="8"/>
        <v>2.2433849532861041</v>
      </c>
      <c r="H184" s="3">
        <v>10159997069</v>
      </c>
      <c r="I184" s="3">
        <v>111239857483</v>
      </c>
      <c r="J184" s="15">
        <f t="shared" si="7"/>
        <v>9.13341431649414E-2</v>
      </c>
    </row>
  </sheetData>
  <pageMargins left="0.7" right="0.7" top="0.75" bottom="0.75" header="0.3" footer="0.3"/>
  <pageSetup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41925-59FE-4EDE-AC6A-8D4FAFAE46F2}">
  <dimension ref="A1:E184"/>
  <sheetViews>
    <sheetView workbookViewId="0">
      <selection activeCell="H190" sqref="H190"/>
    </sheetView>
  </sheetViews>
  <sheetFormatPr defaultRowHeight="15" x14ac:dyDescent="0.25"/>
  <cols>
    <col min="2" max="2" width="7.85546875" customWidth="1"/>
    <col min="3" max="3" width="22.5703125" style="16" customWidth="1"/>
    <col min="4" max="4" width="19.85546875" style="16" customWidth="1"/>
    <col min="5" max="5" width="9.140625" style="15"/>
  </cols>
  <sheetData>
    <row r="1" spans="1:5" x14ac:dyDescent="0.25">
      <c r="A1" s="1" t="s">
        <v>0</v>
      </c>
      <c r="B1" s="12" t="s">
        <v>1</v>
      </c>
      <c r="C1" s="41" t="s">
        <v>78</v>
      </c>
      <c r="D1" s="41" t="s">
        <v>79</v>
      </c>
      <c r="E1" s="42" t="s">
        <v>77</v>
      </c>
    </row>
    <row r="2" spans="1:5" x14ac:dyDescent="0.25">
      <c r="A2" s="1" t="s">
        <v>2</v>
      </c>
      <c r="B2" s="12">
        <v>2021</v>
      </c>
      <c r="C2" s="16">
        <v>54</v>
      </c>
      <c r="D2" s="1">
        <v>117</v>
      </c>
      <c r="E2" s="15">
        <f t="shared" ref="E2:E63" si="0">C2/D2</f>
        <v>0.46153846153846156</v>
      </c>
    </row>
    <row r="3" spans="1:5" x14ac:dyDescent="0.25">
      <c r="A3" s="1"/>
      <c r="B3" s="12">
        <v>2022</v>
      </c>
      <c r="C3" s="16">
        <v>54</v>
      </c>
      <c r="D3" s="1">
        <v>117</v>
      </c>
      <c r="E3" s="15">
        <f t="shared" si="0"/>
        <v>0.46153846153846156</v>
      </c>
    </row>
    <row r="4" spans="1:5" x14ac:dyDescent="0.25">
      <c r="A4" s="1"/>
      <c r="B4" s="12">
        <v>2023</v>
      </c>
      <c r="C4" s="16">
        <v>54</v>
      </c>
      <c r="D4" s="1">
        <v>117</v>
      </c>
      <c r="E4" s="15">
        <f t="shared" si="0"/>
        <v>0.46153846153846156</v>
      </c>
    </row>
    <row r="5" spans="1:5" x14ac:dyDescent="0.25">
      <c r="A5" s="1" t="s">
        <v>3</v>
      </c>
      <c r="B5" s="12">
        <v>2021</v>
      </c>
      <c r="C5" s="16">
        <v>74</v>
      </c>
      <c r="D5" s="1">
        <v>117</v>
      </c>
      <c r="E5" s="15">
        <f t="shared" si="0"/>
        <v>0.63247863247863245</v>
      </c>
    </row>
    <row r="6" spans="1:5" x14ac:dyDescent="0.25">
      <c r="A6" s="1"/>
      <c r="B6" s="12">
        <v>2022</v>
      </c>
      <c r="C6" s="16">
        <v>74</v>
      </c>
      <c r="D6" s="1">
        <v>117</v>
      </c>
      <c r="E6" s="15">
        <f t="shared" si="0"/>
        <v>0.63247863247863245</v>
      </c>
    </row>
    <row r="7" spans="1:5" x14ac:dyDescent="0.25">
      <c r="A7" s="1"/>
      <c r="B7" s="12">
        <v>2023</v>
      </c>
      <c r="C7" s="16">
        <v>74</v>
      </c>
      <c r="D7" s="1">
        <v>117</v>
      </c>
      <c r="E7" s="15">
        <f t="shared" si="0"/>
        <v>0.63247863247863245</v>
      </c>
    </row>
    <row r="8" spans="1:5" x14ac:dyDescent="0.25">
      <c r="A8" s="1" t="s">
        <v>4</v>
      </c>
      <c r="B8" s="12">
        <v>2021</v>
      </c>
      <c r="C8" s="16">
        <v>79</v>
      </c>
      <c r="D8" s="1">
        <v>117</v>
      </c>
      <c r="E8" s="15">
        <f t="shared" si="0"/>
        <v>0.67521367521367526</v>
      </c>
    </row>
    <row r="9" spans="1:5" x14ac:dyDescent="0.25">
      <c r="A9" s="1"/>
      <c r="B9" s="12">
        <v>2022</v>
      </c>
      <c r="C9" s="16">
        <v>79</v>
      </c>
      <c r="D9" s="1">
        <v>117</v>
      </c>
      <c r="E9" s="15">
        <f t="shared" si="0"/>
        <v>0.67521367521367526</v>
      </c>
    </row>
    <row r="10" spans="1:5" x14ac:dyDescent="0.25">
      <c r="A10" s="1"/>
      <c r="B10" s="12">
        <v>2023</v>
      </c>
      <c r="C10" s="16">
        <v>79</v>
      </c>
      <c r="D10" s="1">
        <v>117</v>
      </c>
      <c r="E10" s="15">
        <f t="shared" si="0"/>
        <v>0.67521367521367526</v>
      </c>
    </row>
    <row r="11" spans="1:5" x14ac:dyDescent="0.25">
      <c r="A11" s="1" t="s">
        <v>5</v>
      </c>
      <c r="B11" s="12">
        <v>2021</v>
      </c>
      <c r="C11" s="16">
        <v>88</v>
      </c>
      <c r="D11" s="1">
        <v>117</v>
      </c>
      <c r="E11" s="15">
        <f t="shared" si="0"/>
        <v>0.75213675213675213</v>
      </c>
    </row>
    <row r="12" spans="1:5" x14ac:dyDescent="0.25">
      <c r="A12" s="1"/>
      <c r="B12" s="12">
        <v>2022</v>
      </c>
      <c r="C12" s="16">
        <v>88</v>
      </c>
      <c r="D12" s="1">
        <v>117</v>
      </c>
      <c r="E12" s="15">
        <f t="shared" si="0"/>
        <v>0.75213675213675213</v>
      </c>
    </row>
    <row r="13" spans="1:5" x14ac:dyDescent="0.25">
      <c r="A13" s="1"/>
      <c r="B13" s="12">
        <v>2023</v>
      </c>
      <c r="C13" s="16">
        <v>88</v>
      </c>
      <c r="D13" s="1">
        <v>117</v>
      </c>
      <c r="E13" s="15">
        <f t="shared" si="0"/>
        <v>0.75213675213675213</v>
      </c>
    </row>
    <row r="14" spans="1:5" x14ac:dyDescent="0.25">
      <c r="A14" s="1" t="s">
        <v>6</v>
      </c>
      <c r="B14" s="12">
        <v>2021</v>
      </c>
      <c r="C14" s="16">
        <v>87</v>
      </c>
      <c r="D14" s="1">
        <v>117</v>
      </c>
      <c r="E14" s="15">
        <f t="shared" si="0"/>
        <v>0.74358974358974361</v>
      </c>
    </row>
    <row r="15" spans="1:5" x14ac:dyDescent="0.25">
      <c r="A15" s="1"/>
      <c r="B15" s="12">
        <v>2022</v>
      </c>
      <c r="C15" s="16">
        <v>87</v>
      </c>
      <c r="D15" s="1">
        <v>117</v>
      </c>
      <c r="E15" s="15">
        <f t="shared" si="0"/>
        <v>0.74358974358974361</v>
      </c>
    </row>
    <row r="16" spans="1:5" x14ac:dyDescent="0.25">
      <c r="A16" s="1"/>
      <c r="B16" s="12">
        <v>2023</v>
      </c>
      <c r="C16" s="16">
        <v>87</v>
      </c>
      <c r="D16" s="1">
        <v>117</v>
      </c>
      <c r="E16" s="15">
        <f t="shared" si="0"/>
        <v>0.74358974358974361</v>
      </c>
    </row>
    <row r="17" spans="1:5" x14ac:dyDescent="0.25">
      <c r="A17" s="1" t="s">
        <v>7</v>
      </c>
      <c r="B17" s="12">
        <v>2021</v>
      </c>
      <c r="C17" s="16">
        <v>89</v>
      </c>
      <c r="D17" s="1">
        <v>117</v>
      </c>
      <c r="E17" s="15">
        <f t="shared" si="0"/>
        <v>0.76068376068376065</v>
      </c>
    </row>
    <row r="18" spans="1:5" x14ac:dyDescent="0.25">
      <c r="A18" s="1"/>
      <c r="B18" s="12">
        <v>2022</v>
      </c>
      <c r="C18" s="16">
        <v>89</v>
      </c>
      <c r="D18" s="1">
        <v>117</v>
      </c>
      <c r="E18" s="15">
        <f t="shared" si="0"/>
        <v>0.76068376068376065</v>
      </c>
    </row>
    <row r="19" spans="1:5" x14ac:dyDescent="0.25">
      <c r="A19" s="1"/>
      <c r="B19" s="12">
        <v>2023</v>
      </c>
      <c r="C19" s="16">
        <v>89</v>
      </c>
      <c r="D19" s="1">
        <v>117</v>
      </c>
      <c r="E19" s="15">
        <f t="shared" si="0"/>
        <v>0.76068376068376065</v>
      </c>
    </row>
    <row r="20" spans="1:5" x14ac:dyDescent="0.25">
      <c r="A20" s="1" t="s">
        <v>8</v>
      </c>
      <c r="B20" s="12">
        <v>2021</v>
      </c>
      <c r="C20" s="16">
        <v>70</v>
      </c>
      <c r="D20" s="1">
        <v>117</v>
      </c>
      <c r="E20" s="15">
        <f t="shared" si="0"/>
        <v>0.59829059829059827</v>
      </c>
    </row>
    <row r="21" spans="1:5" x14ac:dyDescent="0.25">
      <c r="A21" s="1"/>
      <c r="B21" s="12">
        <v>2022</v>
      </c>
      <c r="C21" s="16">
        <v>70</v>
      </c>
      <c r="D21" s="1">
        <v>117</v>
      </c>
      <c r="E21" s="15">
        <f t="shared" si="0"/>
        <v>0.59829059829059827</v>
      </c>
    </row>
    <row r="22" spans="1:5" x14ac:dyDescent="0.25">
      <c r="A22" s="1"/>
      <c r="B22" s="12">
        <v>2023</v>
      </c>
      <c r="C22" s="16">
        <v>70</v>
      </c>
      <c r="D22" s="1">
        <v>117</v>
      </c>
      <c r="E22" s="15">
        <f t="shared" si="0"/>
        <v>0.59829059829059827</v>
      </c>
    </row>
    <row r="23" spans="1:5" x14ac:dyDescent="0.25">
      <c r="A23" s="1" t="s">
        <v>9</v>
      </c>
      <c r="B23" s="12">
        <v>2021</v>
      </c>
      <c r="C23" s="16">
        <v>90</v>
      </c>
      <c r="D23" s="1">
        <v>117</v>
      </c>
      <c r="E23" s="15">
        <f t="shared" si="0"/>
        <v>0.76923076923076927</v>
      </c>
    </row>
    <row r="24" spans="1:5" x14ac:dyDescent="0.25">
      <c r="A24" s="1"/>
      <c r="B24" s="12">
        <v>2022</v>
      </c>
      <c r="C24" s="16">
        <v>90</v>
      </c>
      <c r="D24" s="1">
        <v>117</v>
      </c>
      <c r="E24" s="15">
        <f t="shared" si="0"/>
        <v>0.76923076923076927</v>
      </c>
    </row>
    <row r="25" spans="1:5" x14ac:dyDescent="0.25">
      <c r="A25" s="1"/>
      <c r="B25" s="12">
        <v>2023</v>
      </c>
      <c r="C25" s="16">
        <v>90</v>
      </c>
      <c r="D25" s="1">
        <v>117</v>
      </c>
      <c r="E25" s="15">
        <f t="shared" si="0"/>
        <v>0.76923076923076927</v>
      </c>
    </row>
    <row r="26" spans="1:5" x14ac:dyDescent="0.25">
      <c r="A26" s="1" t="s">
        <v>10</v>
      </c>
      <c r="B26" s="12">
        <v>2021</v>
      </c>
      <c r="C26" s="16">
        <v>80</v>
      </c>
      <c r="D26" s="1">
        <v>117</v>
      </c>
      <c r="E26" s="15">
        <f t="shared" si="0"/>
        <v>0.68376068376068377</v>
      </c>
    </row>
    <row r="27" spans="1:5" x14ac:dyDescent="0.25">
      <c r="A27" s="1"/>
      <c r="B27" s="12">
        <v>2022</v>
      </c>
      <c r="C27" s="16">
        <v>80</v>
      </c>
      <c r="D27" s="1">
        <v>117</v>
      </c>
      <c r="E27" s="15">
        <f t="shared" si="0"/>
        <v>0.68376068376068377</v>
      </c>
    </row>
    <row r="28" spans="1:5" x14ac:dyDescent="0.25">
      <c r="A28" s="1"/>
      <c r="B28" s="12">
        <v>2023</v>
      </c>
      <c r="C28" s="16">
        <v>80</v>
      </c>
      <c r="D28" s="1">
        <v>117</v>
      </c>
      <c r="E28" s="15">
        <f t="shared" si="0"/>
        <v>0.68376068376068377</v>
      </c>
    </row>
    <row r="29" spans="1:5" x14ac:dyDescent="0.25">
      <c r="A29" s="1" t="s">
        <v>11</v>
      </c>
      <c r="B29" s="12">
        <v>2021</v>
      </c>
      <c r="C29" s="16">
        <v>76</v>
      </c>
      <c r="D29" s="1">
        <v>117</v>
      </c>
      <c r="E29" s="15">
        <f t="shared" si="0"/>
        <v>0.6495726495726496</v>
      </c>
    </row>
    <row r="30" spans="1:5" x14ac:dyDescent="0.25">
      <c r="A30" s="1"/>
      <c r="B30" s="12">
        <v>2022</v>
      </c>
      <c r="C30" s="16">
        <v>76</v>
      </c>
      <c r="D30" s="1">
        <v>117</v>
      </c>
      <c r="E30" s="15">
        <f t="shared" si="0"/>
        <v>0.6495726495726496</v>
      </c>
    </row>
    <row r="31" spans="1:5" x14ac:dyDescent="0.25">
      <c r="A31" s="1"/>
      <c r="B31" s="12">
        <v>2023</v>
      </c>
      <c r="C31" s="16">
        <v>76</v>
      </c>
      <c r="D31" s="1">
        <v>117</v>
      </c>
      <c r="E31" s="15">
        <f t="shared" si="0"/>
        <v>0.6495726495726496</v>
      </c>
    </row>
    <row r="32" spans="1:5" x14ac:dyDescent="0.25">
      <c r="A32" s="1" t="s">
        <v>12</v>
      </c>
      <c r="B32" s="12">
        <v>2021</v>
      </c>
      <c r="C32" s="16">
        <v>73</v>
      </c>
      <c r="D32" s="1">
        <v>117</v>
      </c>
      <c r="E32" s="15">
        <f t="shared" si="0"/>
        <v>0.62393162393162394</v>
      </c>
    </row>
    <row r="33" spans="1:5" x14ac:dyDescent="0.25">
      <c r="A33" s="1"/>
      <c r="B33" s="12">
        <v>2022</v>
      </c>
      <c r="C33" s="16">
        <v>73</v>
      </c>
      <c r="D33" s="1">
        <v>117</v>
      </c>
      <c r="E33" s="15">
        <f t="shared" si="0"/>
        <v>0.62393162393162394</v>
      </c>
    </row>
    <row r="34" spans="1:5" x14ac:dyDescent="0.25">
      <c r="A34" s="1"/>
      <c r="B34" s="12">
        <v>2023</v>
      </c>
      <c r="C34" s="16">
        <v>73</v>
      </c>
      <c r="D34" s="1">
        <v>117</v>
      </c>
      <c r="E34" s="15">
        <f t="shared" si="0"/>
        <v>0.62393162393162394</v>
      </c>
    </row>
    <row r="35" spans="1:5" x14ac:dyDescent="0.25">
      <c r="A35" s="1" t="s">
        <v>13</v>
      </c>
      <c r="B35" s="12">
        <v>2021</v>
      </c>
      <c r="C35" s="16">
        <v>44</v>
      </c>
      <c r="D35" s="1">
        <v>117</v>
      </c>
      <c r="E35" s="15">
        <f t="shared" si="0"/>
        <v>0.37606837606837606</v>
      </c>
    </row>
    <row r="36" spans="1:5" x14ac:dyDescent="0.25">
      <c r="A36" s="1"/>
      <c r="B36" s="12">
        <v>2022</v>
      </c>
      <c r="C36" s="16">
        <v>44</v>
      </c>
      <c r="D36" s="1">
        <v>117</v>
      </c>
      <c r="E36" s="15">
        <f t="shared" si="0"/>
        <v>0.37606837606837606</v>
      </c>
    </row>
    <row r="37" spans="1:5" x14ac:dyDescent="0.25">
      <c r="A37" s="1"/>
      <c r="B37" s="12">
        <v>2023</v>
      </c>
      <c r="C37" s="16">
        <v>44</v>
      </c>
      <c r="D37" s="1">
        <v>117</v>
      </c>
      <c r="E37" s="15">
        <f t="shared" si="0"/>
        <v>0.37606837606837606</v>
      </c>
    </row>
    <row r="38" spans="1:5" x14ac:dyDescent="0.25">
      <c r="A38" s="1" t="s">
        <v>14</v>
      </c>
      <c r="B38" s="12">
        <v>2021</v>
      </c>
      <c r="C38" s="16">
        <v>74</v>
      </c>
      <c r="D38" s="1">
        <v>117</v>
      </c>
      <c r="E38" s="15">
        <f t="shared" si="0"/>
        <v>0.63247863247863245</v>
      </c>
    </row>
    <row r="39" spans="1:5" x14ac:dyDescent="0.25">
      <c r="A39" s="1"/>
      <c r="B39" s="12">
        <v>2022</v>
      </c>
      <c r="C39" s="16">
        <v>74</v>
      </c>
      <c r="D39" s="1">
        <v>117</v>
      </c>
      <c r="E39" s="15">
        <f t="shared" si="0"/>
        <v>0.63247863247863245</v>
      </c>
    </row>
    <row r="40" spans="1:5" x14ac:dyDescent="0.25">
      <c r="A40" s="1"/>
      <c r="B40" s="12">
        <v>2023</v>
      </c>
      <c r="C40" s="16">
        <v>74</v>
      </c>
      <c r="D40" s="1">
        <v>117</v>
      </c>
      <c r="E40" s="15">
        <f t="shared" si="0"/>
        <v>0.63247863247863245</v>
      </c>
    </row>
    <row r="41" spans="1:5" x14ac:dyDescent="0.25">
      <c r="A41" s="1" t="s">
        <v>15</v>
      </c>
      <c r="B41" s="12">
        <v>2021</v>
      </c>
      <c r="C41" s="16">
        <v>78</v>
      </c>
      <c r="D41" s="1">
        <v>117</v>
      </c>
      <c r="E41" s="15">
        <f t="shared" si="0"/>
        <v>0.66666666666666663</v>
      </c>
    </row>
    <row r="42" spans="1:5" x14ac:dyDescent="0.25">
      <c r="A42" s="1"/>
      <c r="B42" s="12">
        <v>2022</v>
      </c>
      <c r="C42" s="16">
        <v>78</v>
      </c>
      <c r="D42" s="1">
        <v>117</v>
      </c>
      <c r="E42" s="15">
        <f t="shared" si="0"/>
        <v>0.66666666666666663</v>
      </c>
    </row>
    <row r="43" spans="1:5" x14ac:dyDescent="0.25">
      <c r="A43" s="1"/>
      <c r="B43" s="12">
        <v>2023</v>
      </c>
      <c r="C43" s="16">
        <v>78</v>
      </c>
      <c r="D43" s="1">
        <v>117</v>
      </c>
      <c r="E43" s="15">
        <f t="shared" si="0"/>
        <v>0.66666666666666663</v>
      </c>
    </row>
    <row r="44" spans="1:5" x14ac:dyDescent="0.25">
      <c r="A44" s="1" t="s">
        <v>16</v>
      </c>
      <c r="B44" s="12">
        <v>2021</v>
      </c>
      <c r="C44" s="16">
        <v>71</v>
      </c>
      <c r="D44" s="1">
        <v>117</v>
      </c>
      <c r="E44" s="15">
        <f t="shared" si="0"/>
        <v>0.60683760683760679</v>
      </c>
    </row>
    <row r="45" spans="1:5" x14ac:dyDescent="0.25">
      <c r="A45" s="1"/>
      <c r="B45" s="12">
        <v>2022</v>
      </c>
      <c r="C45" s="16">
        <v>71</v>
      </c>
      <c r="D45" s="1">
        <v>117</v>
      </c>
      <c r="E45" s="15">
        <f t="shared" si="0"/>
        <v>0.60683760683760679</v>
      </c>
    </row>
    <row r="46" spans="1:5" x14ac:dyDescent="0.25">
      <c r="A46" s="1"/>
      <c r="B46" s="12">
        <v>2023</v>
      </c>
      <c r="C46" s="16">
        <v>71</v>
      </c>
      <c r="D46" s="1">
        <v>117</v>
      </c>
      <c r="E46" s="15">
        <f t="shared" si="0"/>
        <v>0.60683760683760679</v>
      </c>
    </row>
    <row r="47" spans="1:5" x14ac:dyDescent="0.25">
      <c r="A47" s="1" t="s">
        <v>17</v>
      </c>
      <c r="B47" s="12">
        <v>2021</v>
      </c>
      <c r="C47" s="16">
        <v>99</v>
      </c>
      <c r="D47" s="1">
        <v>117</v>
      </c>
      <c r="E47" s="15">
        <f t="shared" si="0"/>
        <v>0.84615384615384615</v>
      </c>
    </row>
    <row r="48" spans="1:5" x14ac:dyDescent="0.25">
      <c r="A48" s="1"/>
      <c r="B48" s="12">
        <v>2022</v>
      </c>
      <c r="C48" s="16">
        <v>99</v>
      </c>
      <c r="D48" s="1">
        <v>117</v>
      </c>
      <c r="E48" s="15">
        <f t="shared" si="0"/>
        <v>0.84615384615384615</v>
      </c>
    </row>
    <row r="49" spans="1:5" x14ac:dyDescent="0.25">
      <c r="A49" s="1"/>
      <c r="B49" s="12">
        <v>2023</v>
      </c>
      <c r="C49" s="16">
        <v>99</v>
      </c>
      <c r="D49" s="1">
        <v>117</v>
      </c>
      <c r="E49" s="15">
        <f t="shared" si="0"/>
        <v>0.84615384615384615</v>
      </c>
    </row>
    <row r="50" spans="1:5" x14ac:dyDescent="0.25">
      <c r="A50" s="2" t="s">
        <v>18</v>
      </c>
      <c r="B50" s="12">
        <v>2021</v>
      </c>
      <c r="C50" s="16">
        <v>91</v>
      </c>
      <c r="D50" s="1">
        <v>117</v>
      </c>
      <c r="E50" s="15">
        <f t="shared" si="0"/>
        <v>0.77777777777777779</v>
      </c>
    </row>
    <row r="51" spans="1:5" x14ac:dyDescent="0.25">
      <c r="A51" s="2"/>
      <c r="B51" s="12">
        <v>2022</v>
      </c>
      <c r="C51" s="16">
        <v>91</v>
      </c>
      <c r="D51" s="1">
        <v>117</v>
      </c>
      <c r="E51" s="15">
        <f t="shared" si="0"/>
        <v>0.77777777777777779</v>
      </c>
    </row>
    <row r="52" spans="1:5" x14ac:dyDescent="0.25">
      <c r="A52" s="2"/>
      <c r="B52" s="12">
        <v>2023</v>
      </c>
      <c r="C52" s="16">
        <v>91</v>
      </c>
      <c r="D52" s="1">
        <v>117</v>
      </c>
      <c r="E52" s="15">
        <f t="shared" si="0"/>
        <v>0.77777777777777779</v>
      </c>
    </row>
    <row r="53" spans="1:5" x14ac:dyDescent="0.25">
      <c r="A53" s="2" t="s">
        <v>19</v>
      </c>
      <c r="B53" s="12">
        <v>2021</v>
      </c>
      <c r="C53" s="16">
        <v>48</v>
      </c>
      <c r="D53" s="1">
        <v>117</v>
      </c>
      <c r="E53" s="15">
        <f t="shared" si="0"/>
        <v>0.41025641025641024</v>
      </c>
    </row>
    <row r="54" spans="1:5" x14ac:dyDescent="0.25">
      <c r="A54" s="2"/>
      <c r="B54" s="12">
        <v>2022</v>
      </c>
      <c r="C54" s="16">
        <v>48</v>
      </c>
      <c r="D54" s="1">
        <v>117</v>
      </c>
      <c r="E54" s="15">
        <f t="shared" si="0"/>
        <v>0.41025641025641024</v>
      </c>
    </row>
    <row r="55" spans="1:5" x14ac:dyDescent="0.25">
      <c r="A55" s="2"/>
      <c r="B55" s="12">
        <v>2023</v>
      </c>
      <c r="C55" s="16">
        <v>48</v>
      </c>
      <c r="D55" s="1">
        <v>117</v>
      </c>
      <c r="E55" s="15">
        <f t="shared" si="0"/>
        <v>0.41025641025641024</v>
      </c>
    </row>
    <row r="56" spans="1:5" x14ac:dyDescent="0.25">
      <c r="A56" s="2" t="s">
        <v>20</v>
      </c>
      <c r="B56" s="12">
        <v>2021</v>
      </c>
      <c r="C56" s="16">
        <v>52</v>
      </c>
      <c r="D56" s="1">
        <v>117</v>
      </c>
      <c r="E56" s="15">
        <f t="shared" si="0"/>
        <v>0.44444444444444442</v>
      </c>
    </row>
    <row r="57" spans="1:5" x14ac:dyDescent="0.25">
      <c r="A57" s="2"/>
      <c r="B57" s="12">
        <v>2022</v>
      </c>
      <c r="C57" s="16">
        <v>52</v>
      </c>
      <c r="D57" s="1">
        <v>117</v>
      </c>
      <c r="E57" s="15">
        <f t="shared" si="0"/>
        <v>0.44444444444444442</v>
      </c>
    </row>
    <row r="58" spans="1:5" x14ac:dyDescent="0.25">
      <c r="A58" s="2"/>
      <c r="B58" s="12">
        <v>2023</v>
      </c>
      <c r="C58" s="16">
        <v>52</v>
      </c>
      <c r="D58" s="1">
        <v>117</v>
      </c>
      <c r="E58" s="15">
        <f t="shared" si="0"/>
        <v>0.44444444444444442</v>
      </c>
    </row>
    <row r="59" spans="1:5" x14ac:dyDescent="0.25">
      <c r="A59" s="2" t="s">
        <v>21</v>
      </c>
      <c r="B59" s="12">
        <v>2021</v>
      </c>
      <c r="C59" s="16">
        <v>74</v>
      </c>
      <c r="D59" s="1">
        <v>117</v>
      </c>
      <c r="E59" s="15">
        <f t="shared" si="0"/>
        <v>0.63247863247863245</v>
      </c>
    </row>
    <row r="60" spans="1:5" x14ac:dyDescent="0.25">
      <c r="A60" s="2"/>
      <c r="B60" s="12">
        <v>2022</v>
      </c>
      <c r="C60" s="16">
        <v>74</v>
      </c>
      <c r="D60" s="1">
        <v>117</v>
      </c>
      <c r="E60" s="15">
        <f t="shared" si="0"/>
        <v>0.63247863247863245</v>
      </c>
    </row>
    <row r="61" spans="1:5" x14ac:dyDescent="0.25">
      <c r="A61" s="2"/>
      <c r="B61" s="12">
        <v>2023</v>
      </c>
      <c r="C61" s="16">
        <v>74</v>
      </c>
      <c r="D61" s="1">
        <v>117</v>
      </c>
      <c r="E61" s="15">
        <f t="shared" si="0"/>
        <v>0.63247863247863245</v>
      </c>
    </row>
    <row r="62" spans="1:5" x14ac:dyDescent="0.25">
      <c r="A62" s="2" t="s">
        <v>22</v>
      </c>
      <c r="B62" s="12">
        <v>2021</v>
      </c>
      <c r="C62" s="16">
        <v>111</v>
      </c>
      <c r="D62" s="1">
        <v>117</v>
      </c>
      <c r="E62" s="15">
        <f t="shared" si="0"/>
        <v>0.94871794871794868</v>
      </c>
    </row>
    <row r="63" spans="1:5" x14ac:dyDescent="0.25">
      <c r="A63" s="2"/>
      <c r="B63" s="12">
        <v>2022</v>
      </c>
      <c r="C63" s="16">
        <v>111</v>
      </c>
      <c r="D63" s="1">
        <v>117</v>
      </c>
      <c r="E63" s="15">
        <f t="shared" si="0"/>
        <v>0.94871794871794868</v>
      </c>
    </row>
    <row r="64" spans="1:5" x14ac:dyDescent="0.25">
      <c r="A64" s="2"/>
      <c r="B64" s="12">
        <v>2023</v>
      </c>
      <c r="C64" s="16">
        <v>111</v>
      </c>
      <c r="D64" s="1">
        <v>117</v>
      </c>
      <c r="E64" s="15">
        <f t="shared" ref="E64:E127" si="1">C64/D64</f>
        <v>0.94871794871794868</v>
      </c>
    </row>
    <row r="65" spans="1:5" x14ac:dyDescent="0.25">
      <c r="A65" s="2" t="s">
        <v>23</v>
      </c>
      <c r="B65" s="12">
        <v>2021</v>
      </c>
      <c r="C65" s="16">
        <v>72</v>
      </c>
      <c r="D65" s="1">
        <v>117</v>
      </c>
      <c r="E65" s="15">
        <f t="shared" si="1"/>
        <v>0.61538461538461542</v>
      </c>
    </row>
    <row r="66" spans="1:5" x14ac:dyDescent="0.25">
      <c r="A66" s="2"/>
      <c r="B66" s="12">
        <v>2022</v>
      </c>
      <c r="C66" s="16">
        <v>72</v>
      </c>
      <c r="D66" s="1">
        <v>117</v>
      </c>
      <c r="E66" s="15">
        <f t="shared" si="1"/>
        <v>0.61538461538461542</v>
      </c>
    </row>
    <row r="67" spans="1:5" x14ac:dyDescent="0.25">
      <c r="A67" s="2"/>
      <c r="B67" s="12">
        <v>2023</v>
      </c>
      <c r="C67" s="16">
        <v>72</v>
      </c>
      <c r="D67" s="1">
        <v>117</v>
      </c>
      <c r="E67" s="15">
        <f t="shared" si="1"/>
        <v>0.61538461538461542</v>
      </c>
    </row>
    <row r="68" spans="1:5" x14ac:dyDescent="0.25">
      <c r="A68" s="2" t="s">
        <v>24</v>
      </c>
      <c r="B68" s="12">
        <v>2021</v>
      </c>
      <c r="C68" s="16">
        <v>89</v>
      </c>
      <c r="D68" s="1">
        <v>117</v>
      </c>
      <c r="E68" s="15">
        <f t="shared" si="1"/>
        <v>0.76068376068376065</v>
      </c>
    </row>
    <row r="69" spans="1:5" x14ac:dyDescent="0.25">
      <c r="A69" s="2"/>
      <c r="B69" s="12">
        <v>2022</v>
      </c>
      <c r="C69" s="16">
        <v>89</v>
      </c>
      <c r="D69" s="1">
        <v>117</v>
      </c>
      <c r="E69" s="15">
        <f t="shared" si="1"/>
        <v>0.76068376068376065</v>
      </c>
    </row>
    <row r="70" spans="1:5" x14ac:dyDescent="0.25">
      <c r="A70" s="2"/>
      <c r="B70" s="12">
        <v>2023</v>
      </c>
      <c r="C70" s="16">
        <v>89</v>
      </c>
      <c r="D70" s="1">
        <v>117</v>
      </c>
      <c r="E70" s="15">
        <f t="shared" si="1"/>
        <v>0.76068376068376065</v>
      </c>
    </row>
    <row r="71" spans="1:5" x14ac:dyDescent="0.25">
      <c r="A71" s="2" t="s">
        <v>25</v>
      </c>
      <c r="B71" s="12">
        <v>2021</v>
      </c>
      <c r="C71" s="16">
        <v>77</v>
      </c>
      <c r="D71" s="1">
        <v>117</v>
      </c>
      <c r="E71" s="15">
        <f t="shared" si="1"/>
        <v>0.65811965811965811</v>
      </c>
    </row>
    <row r="72" spans="1:5" x14ac:dyDescent="0.25">
      <c r="A72" s="2"/>
      <c r="B72" s="12">
        <v>2022</v>
      </c>
      <c r="C72" s="16">
        <v>77</v>
      </c>
      <c r="D72" s="1">
        <v>117</v>
      </c>
      <c r="E72" s="15">
        <f t="shared" si="1"/>
        <v>0.65811965811965811</v>
      </c>
    </row>
    <row r="73" spans="1:5" x14ac:dyDescent="0.25">
      <c r="A73" s="2"/>
      <c r="B73" s="12">
        <v>2023</v>
      </c>
      <c r="C73" s="16">
        <v>77</v>
      </c>
      <c r="D73" s="1">
        <v>117</v>
      </c>
      <c r="E73" s="15">
        <f t="shared" si="1"/>
        <v>0.65811965811965811</v>
      </c>
    </row>
    <row r="74" spans="1:5" x14ac:dyDescent="0.25">
      <c r="A74" s="2" t="s">
        <v>26</v>
      </c>
      <c r="B74" s="12">
        <v>2021</v>
      </c>
      <c r="C74" s="16">
        <v>84</v>
      </c>
      <c r="D74" s="1">
        <v>117</v>
      </c>
      <c r="E74" s="15">
        <f t="shared" si="1"/>
        <v>0.71794871794871795</v>
      </c>
    </row>
    <row r="75" spans="1:5" x14ac:dyDescent="0.25">
      <c r="A75" s="2"/>
      <c r="B75" s="12">
        <v>2022</v>
      </c>
      <c r="C75" s="16">
        <v>84</v>
      </c>
      <c r="D75" s="1">
        <v>117</v>
      </c>
      <c r="E75" s="15">
        <f t="shared" si="1"/>
        <v>0.71794871794871795</v>
      </c>
    </row>
    <row r="76" spans="1:5" x14ac:dyDescent="0.25">
      <c r="A76" s="2"/>
      <c r="B76" s="12">
        <v>2023</v>
      </c>
      <c r="C76" s="16">
        <v>84</v>
      </c>
      <c r="D76" s="1">
        <v>117</v>
      </c>
      <c r="E76" s="15">
        <f t="shared" si="1"/>
        <v>0.71794871794871795</v>
      </c>
    </row>
    <row r="77" spans="1:5" x14ac:dyDescent="0.25">
      <c r="A77" s="2" t="s">
        <v>27</v>
      </c>
      <c r="B77" s="12">
        <v>2021</v>
      </c>
      <c r="C77" s="16">
        <v>87</v>
      </c>
      <c r="D77" s="1">
        <v>117</v>
      </c>
      <c r="E77" s="15">
        <f t="shared" si="1"/>
        <v>0.74358974358974361</v>
      </c>
    </row>
    <row r="78" spans="1:5" x14ac:dyDescent="0.25">
      <c r="A78" s="2"/>
      <c r="B78" s="12">
        <v>2022</v>
      </c>
      <c r="C78" s="16">
        <v>87</v>
      </c>
      <c r="D78" s="1">
        <v>117</v>
      </c>
      <c r="E78" s="15">
        <f t="shared" si="1"/>
        <v>0.74358974358974361</v>
      </c>
    </row>
    <row r="79" spans="1:5" x14ac:dyDescent="0.25">
      <c r="A79" s="2"/>
      <c r="B79" s="12">
        <v>2023</v>
      </c>
      <c r="C79" s="16">
        <v>87</v>
      </c>
      <c r="D79" s="1">
        <v>117</v>
      </c>
      <c r="E79" s="15">
        <f t="shared" si="1"/>
        <v>0.74358974358974361</v>
      </c>
    </row>
    <row r="80" spans="1:5" x14ac:dyDescent="0.25">
      <c r="A80" s="2" t="s">
        <v>47</v>
      </c>
      <c r="B80" s="12">
        <v>2021</v>
      </c>
      <c r="C80" s="16">
        <v>66</v>
      </c>
      <c r="D80" s="1">
        <v>117</v>
      </c>
      <c r="E80" s="15">
        <f t="shared" si="1"/>
        <v>0.5641025641025641</v>
      </c>
    </row>
    <row r="81" spans="1:5" x14ac:dyDescent="0.25">
      <c r="A81" s="2"/>
      <c r="B81" s="12">
        <v>2022</v>
      </c>
      <c r="C81" s="16">
        <v>66</v>
      </c>
      <c r="D81" s="1">
        <v>117</v>
      </c>
      <c r="E81" s="15">
        <f t="shared" si="1"/>
        <v>0.5641025641025641</v>
      </c>
    </row>
    <row r="82" spans="1:5" x14ac:dyDescent="0.25">
      <c r="A82" s="2"/>
      <c r="B82" s="12">
        <v>2023</v>
      </c>
      <c r="C82" s="16">
        <v>66</v>
      </c>
      <c r="D82" s="1">
        <v>117</v>
      </c>
      <c r="E82" s="15">
        <f t="shared" si="1"/>
        <v>0.5641025641025641</v>
      </c>
    </row>
    <row r="83" spans="1:5" x14ac:dyDescent="0.25">
      <c r="A83" s="2" t="s">
        <v>48</v>
      </c>
      <c r="B83" s="12">
        <v>2021</v>
      </c>
      <c r="C83" s="16">
        <v>63</v>
      </c>
      <c r="D83" s="1">
        <v>117</v>
      </c>
      <c r="E83" s="15">
        <f t="shared" si="1"/>
        <v>0.53846153846153844</v>
      </c>
    </row>
    <row r="84" spans="1:5" x14ac:dyDescent="0.25">
      <c r="A84" s="2"/>
      <c r="B84" s="12">
        <v>2022</v>
      </c>
      <c r="C84" s="16">
        <v>63</v>
      </c>
      <c r="D84" s="1">
        <v>117</v>
      </c>
      <c r="E84" s="15">
        <f t="shared" si="1"/>
        <v>0.53846153846153844</v>
      </c>
    </row>
    <row r="85" spans="1:5" x14ac:dyDescent="0.25">
      <c r="A85" s="2"/>
      <c r="B85" s="12">
        <v>2023</v>
      </c>
      <c r="C85" s="16">
        <v>63</v>
      </c>
      <c r="D85" s="1">
        <v>117</v>
      </c>
      <c r="E85" s="15">
        <f t="shared" si="1"/>
        <v>0.53846153846153844</v>
      </c>
    </row>
    <row r="86" spans="1:5" x14ac:dyDescent="0.25">
      <c r="A86" s="2" t="s">
        <v>49</v>
      </c>
      <c r="B86" s="12">
        <v>2021</v>
      </c>
      <c r="C86" s="16">
        <v>76</v>
      </c>
      <c r="D86" s="1">
        <v>117</v>
      </c>
      <c r="E86" s="15">
        <f t="shared" si="1"/>
        <v>0.6495726495726496</v>
      </c>
    </row>
    <row r="87" spans="1:5" x14ac:dyDescent="0.25">
      <c r="A87" s="2"/>
      <c r="B87" s="12">
        <v>2022</v>
      </c>
      <c r="C87" s="16">
        <v>76</v>
      </c>
      <c r="D87" s="1">
        <v>117</v>
      </c>
      <c r="E87" s="15">
        <f t="shared" si="1"/>
        <v>0.6495726495726496</v>
      </c>
    </row>
    <row r="88" spans="1:5" x14ac:dyDescent="0.25">
      <c r="A88" s="2"/>
      <c r="B88" s="12">
        <v>2023</v>
      </c>
      <c r="C88" s="16">
        <v>76</v>
      </c>
      <c r="D88" s="1">
        <v>117</v>
      </c>
      <c r="E88" s="15">
        <f t="shared" si="1"/>
        <v>0.6495726495726496</v>
      </c>
    </row>
    <row r="89" spans="1:5" x14ac:dyDescent="0.25">
      <c r="A89" s="2" t="s">
        <v>50</v>
      </c>
      <c r="B89" s="12">
        <v>2021</v>
      </c>
      <c r="C89" s="16">
        <v>77</v>
      </c>
      <c r="D89" s="1">
        <v>117</v>
      </c>
      <c r="E89" s="15">
        <f t="shared" si="1"/>
        <v>0.65811965811965811</v>
      </c>
    </row>
    <row r="90" spans="1:5" x14ac:dyDescent="0.25">
      <c r="A90" s="2"/>
      <c r="B90" s="12">
        <v>2022</v>
      </c>
      <c r="C90" s="16">
        <v>77</v>
      </c>
      <c r="D90" s="1">
        <v>117</v>
      </c>
      <c r="E90" s="15">
        <f t="shared" si="1"/>
        <v>0.65811965811965811</v>
      </c>
    </row>
    <row r="91" spans="1:5" x14ac:dyDescent="0.25">
      <c r="A91" s="2"/>
      <c r="B91" s="12">
        <v>2023</v>
      </c>
      <c r="C91" s="16">
        <v>77</v>
      </c>
      <c r="D91" s="1">
        <v>117</v>
      </c>
      <c r="E91" s="15">
        <f t="shared" si="1"/>
        <v>0.65811965811965811</v>
      </c>
    </row>
    <row r="92" spans="1:5" x14ac:dyDescent="0.25">
      <c r="A92" s="2" t="s">
        <v>51</v>
      </c>
      <c r="B92" s="12">
        <v>2021</v>
      </c>
      <c r="C92" s="16">
        <v>82</v>
      </c>
      <c r="D92" s="1">
        <v>117</v>
      </c>
      <c r="E92" s="15">
        <f t="shared" si="1"/>
        <v>0.70085470085470081</v>
      </c>
    </row>
    <row r="93" spans="1:5" x14ac:dyDescent="0.25">
      <c r="A93" s="2"/>
      <c r="B93" s="12">
        <v>2022</v>
      </c>
      <c r="C93" s="16">
        <v>82</v>
      </c>
      <c r="D93" s="1">
        <v>117</v>
      </c>
      <c r="E93" s="15">
        <f t="shared" si="1"/>
        <v>0.70085470085470081</v>
      </c>
    </row>
    <row r="94" spans="1:5" x14ac:dyDescent="0.25">
      <c r="A94" s="2"/>
      <c r="B94" s="12">
        <v>2023</v>
      </c>
      <c r="C94" s="16">
        <v>82</v>
      </c>
      <c r="D94" s="1">
        <v>117</v>
      </c>
      <c r="E94" s="15">
        <f t="shared" si="1"/>
        <v>0.70085470085470081</v>
      </c>
    </row>
    <row r="95" spans="1:5" x14ac:dyDescent="0.25">
      <c r="A95" s="2" t="s">
        <v>52</v>
      </c>
      <c r="B95" s="12">
        <v>2021</v>
      </c>
      <c r="C95" s="16">
        <v>61</v>
      </c>
      <c r="D95" s="1">
        <v>117</v>
      </c>
      <c r="E95" s="15">
        <f t="shared" si="1"/>
        <v>0.5213675213675214</v>
      </c>
    </row>
    <row r="96" spans="1:5" x14ac:dyDescent="0.25">
      <c r="A96" s="2"/>
      <c r="B96" s="12">
        <v>2022</v>
      </c>
      <c r="C96" s="16">
        <v>61</v>
      </c>
      <c r="D96" s="1">
        <v>117</v>
      </c>
      <c r="E96" s="15">
        <f t="shared" si="1"/>
        <v>0.5213675213675214</v>
      </c>
    </row>
    <row r="97" spans="1:5" x14ac:dyDescent="0.25">
      <c r="A97" s="2"/>
      <c r="B97" s="12">
        <v>2023</v>
      </c>
      <c r="C97" s="16">
        <v>61</v>
      </c>
      <c r="D97" s="1">
        <v>117</v>
      </c>
      <c r="E97" s="15">
        <f t="shared" si="1"/>
        <v>0.5213675213675214</v>
      </c>
    </row>
    <row r="98" spans="1:5" x14ac:dyDescent="0.25">
      <c r="A98" s="2" t="s">
        <v>53</v>
      </c>
      <c r="B98" s="12">
        <v>2021</v>
      </c>
      <c r="C98" s="16">
        <v>73</v>
      </c>
      <c r="D98" s="1">
        <v>117</v>
      </c>
      <c r="E98" s="15">
        <f t="shared" si="1"/>
        <v>0.62393162393162394</v>
      </c>
    </row>
    <row r="99" spans="1:5" x14ac:dyDescent="0.25">
      <c r="A99" s="2"/>
      <c r="B99" s="12">
        <v>2022</v>
      </c>
      <c r="C99" s="16">
        <v>73</v>
      </c>
      <c r="D99" s="1">
        <v>117</v>
      </c>
      <c r="E99" s="15">
        <f t="shared" si="1"/>
        <v>0.62393162393162394</v>
      </c>
    </row>
    <row r="100" spans="1:5" x14ac:dyDescent="0.25">
      <c r="A100" s="2"/>
      <c r="B100" s="12">
        <v>2023</v>
      </c>
      <c r="C100" s="16">
        <v>73</v>
      </c>
      <c r="D100" s="1">
        <v>117</v>
      </c>
      <c r="E100" s="15">
        <f t="shared" si="1"/>
        <v>0.62393162393162394</v>
      </c>
    </row>
    <row r="101" spans="1:5" x14ac:dyDescent="0.25">
      <c r="A101" s="2" t="s">
        <v>54</v>
      </c>
      <c r="B101" s="12">
        <v>2021</v>
      </c>
      <c r="C101" s="16">
        <v>54</v>
      </c>
      <c r="D101" s="1">
        <v>117</v>
      </c>
      <c r="E101" s="15">
        <f t="shared" si="1"/>
        <v>0.46153846153846156</v>
      </c>
    </row>
    <row r="102" spans="1:5" x14ac:dyDescent="0.25">
      <c r="A102" s="2"/>
      <c r="B102" s="12">
        <v>2022</v>
      </c>
      <c r="C102" s="16">
        <v>54</v>
      </c>
      <c r="D102" s="1">
        <v>117</v>
      </c>
      <c r="E102" s="15">
        <f t="shared" si="1"/>
        <v>0.46153846153846156</v>
      </c>
    </row>
    <row r="103" spans="1:5" x14ac:dyDescent="0.25">
      <c r="A103" s="2"/>
      <c r="B103" s="12">
        <v>2023</v>
      </c>
      <c r="C103" s="16">
        <v>54</v>
      </c>
      <c r="D103" s="1">
        <v>117</v>
      </c>
      <c r="E103" s="15">
        <f t="shared" si="1"/>
        <v>0.46153846153846156</v>
      </c>
    </row>
    <row r="104" spans="1:5" x14ac:dyDescent="0.25">
      <c r="A104" s="2" t="s">
        <v>55</v>
      </c>
      <c r="B104" s="12">
        <v>2021</v>
      </c>
      <c r="C104" s="16">
        <v>87</v>
      </c>
      <c r="D104" s="1">
        <v>117</v>
      </c>
      <c r="E104" s="15">
        <f t="shared" si="1"/>
        <v>0.74358974358974361</v>
      </c>
    </row>
    <row r="105" spans="1:5" x14ac:dyDescent="0.25">
      <c r="A105" s="2"/>
      <c r="B105" s="12">
        <v>2022</v>
      </c>
      <c r="C105" s="16">
        <v>87</v>
      </c>
      <c r="D105" s="1">
        <v>117</v>
      </c>
      <c r="E105" s="15">
        <f t="shared" si="1"/>
        <v>0.74358974358974361</v>
      </c>
    </row>
    <row r="106" spans="1:5" x14ac:dyDescent="0.25">
      <c r="A106" s="2"/>
      <c r="B106" s="12">
        <v>2023</v>
      </c>
      <c r="C106" s="16">
        <v>87</v>
      </c>
      <c r="D106" s="1">
        <v>117</v>
      </c>
      <c r="E106" s="15">
        <f t="shared" si="1"/>
        <v>0.74358974358974361</v>
      </c>
    </row>
    <row r="107" spans="1:5" x14ac:dyDescent="0.25">
      <c r="A107" s="2" t="s">
        <v>56</v>
      </c>
      <c r="B107" s="12">
        <v>2021</v>
      </c>
      <c r="C107" s="16">
        <v>68</v>
      </c>
      <c r="D107" s="1">
        <v>117</v>
      </c>
      <c r="E107" s="15">
        <f t="shared" si="1"/>
        <v>0.58119658119658124</v>
      </c>
    </row>
    <row r="108" spans="1:5" x14ac:dyDescent="0.25">
      <c r="A108" s="2"/>
      <c r="B108" s="12">
        <v>2022</v>
      </c>
      <c r="C108" s="16">
        <v>68</v>
      </c>
      <c r="D108" s="1">
        <v>117</v>
      </c>
      <c r="E108" s="15">
        <f t="shared" si="1"/>
        <v>0.58119658119658124</v>
      </c>
    </row>
    <row r="109" spans="1:5" x14ac:dyDescent="0.25">
      <c r="A109" s="2"/>
      <c r="B109" s="12">
        <v>2023</v>
      </c>
      <c r="C109" s="16">
        <v>68</v>
      </c>
      <c r="D109" s="1">
        <v>117</v>
      </c>
      <c r="E109" s="15">
        <f t="shared" si="1"/>
        <v>0.58119658119658124</v>
      </c>
    </row>
    <row r="110" spans="1:5" x14ac:dyDescent="0.25">
      <c r="A110" s="2" t="s">
        <v>57</v>
      </c>
      <c r="B110" s="12">
        <v>2021</v>
      </c>
      <c r="C110" s="16">
        <v>47</v>
      </c>
      <c r="D110" s="1">
        <v>117</v>
      </c>
      <c r="E110" s="15">
        <f t="shared" si="1"/>
        <v>0.40170940170940173</v>
      </c>
    </row>
    <row r="111" spans="1:5" x14ac:dyDescent="0.25">
      <c r="A111" s="2"/>
      <c r="B111" s="12">
        <v>2022</v>
      </c>
      <c r="C111" s="16">
        <v>47</v>
      </c>
      <c r="D111" s="1">
        <v>117</v>
      </c>
      <c r="E111" s="15">
        <f t="shared" si="1"/>
        <v>0.40170940170940173</v>
      </c>
    </row>
    <row r="112" spans="1:5" x14ac:dyDescent="0.25">
      <c r="A112" s="2"/>
      <c r="B112" s="12">
        <v>2023</v>
      </c>
      <c r="C112" s="16">
        <v>47</v>
      </c>
      <c r="D112" s="1">
        <v>117</v>
      </c>
      <c r="E112" s="15">
        <f t="shared" si="1"/>
        <v>0.40170940170940173</v>
      </c>
    </row>
    <row r="113" spans="1:5" x14ac:dyDescent="0.25">
      <c r="A113" s="2" t="s">
        <v>58</v>
      </c>
      <c r="B113" s="12">
        <v>2021</v>
      </c>
      <c r="C113" s="16">
        <v>94</v>
      </c>
      <c r="D113" s="1">
        <v>117</v>
      </c>
      <c r="E113" s="15">
        <f t="shared" si="1"/>
        <v>0.80341880341880345</v>
      </c>
    </row>
    <row r="114" spans="1:5" x14ac:dyDescent="0.25">
      <c r="A114" s="2"/>
      <c r="B114" s="12">
        <v>2022</v>
      </c>
      <c r="C114" s="16">
        <v>94</v>
      </c>
      <c r="D114" s="1">
        <v>117</v>
      </c>
      <c r="E114" s="15">
        <f t="shared" si="1"/>
        <v>0.80341880341880345</v>
      </c>
    </row>
    <row r="115" spans="1:5" x14ac:dyDescent="0.25">
      <c r="A115" s="2"/>
      <c r="B115" s="12">
        <v>2023</v>
      </c>
      <c r="C115" s="16">
        <v>94</v>
      </c>
      <c r="D115" s="1">
        <v>117</v>
      </c>
      <c r="E115" s="15">
        <f t="shared" si="1"/>
        <v>0.80341880341880345</v>
      </c>
    </row>
    <row r="116" spans="1:5" x14ac:dyDescent="0.25">
      <c r="A116" s="2" t="s">
        <v>59</v>
      </c>
      <c r="B116" s="12">
        <v>2021</v>
      </c>
      <c r="C116" s="16">
        <v>65</v>
      </c>
      <c r="D116" s="1">
        <v>117</v>
      </c>
      <c r="E116" s="15">
        <f t="shared" si="1"/>
        <v>0.55555555555555558</v>
      </c>
    </row>
    <row r="117" spans="1:5" x14ac:dyDescent="0.25">
      <c r="A117" s="2"/>
      <c r="B117" s="12">
        <v>2022</v>
      </c>
      <c r="C117" s="16">
        <v>65</v>
      </c>
      <c r="D117" s="1">
        <v>117</v>
      </c>
      <c r="E117" s="15">
        <f t="shared" si="1"/>
        <v>0.55555555555555558</v>
      </c>
    </row>
    <row r="118" spans="1:5" x14ac:dyDescent="0.25">
      <c r="A118" s="2"/>
      <c r="B118" s="12">
        <v>2023</v>
      </c>
      <c r="C118" s="16">
        <v>65</v>
      </c>
      <c r="D118" s="1">
        <v>117</v>
      </c>
      <c r="E118" s="15">
        <f t="shared" si="1"/>
        <v>0.55555555555555558</v>
      </c>
    </row>
    <row r="119" spans="1:5" x14ac:dyDescent="0.25">
      <c r="A119" s="2" t="s">
        <v>60</v>
      </c>
      <c r="B119" s="12">
        <v>2021</v>
      </c>
      <c r="C119" s="16">
        <v>52</v>
      </c>
      <c r="D119" s="1">
        <v>117</v>
      </c>
      <c r="E119" s="15">
        <f t="shared" si="1"/>
        <v>0.44444444444444442</v>
      </c>
    </row>
    <row r="120" spans="1:5" x14ac:dyDescent="0.25">
      <c r="A120" s="2"/>
      <c r="B120" s="12">
        <v>2022</v>
      </c>
      <c r="C120" s="16">
        <v>52</v>
      </c>
      <c r="D120" s="1">
        <v>117</v>
      </c>
      <c r="E120" s="15">
        <f t="shared" si="1"/>
        <v>0.44444444444444442</v>
      </c>
    </row>
    <row r="121" spans="1:5" x14ac:dyDescent="0.25">
      <c r="A121" s="2"/>
      <c r="B121" s="12">
        <v>2023</v>
      </c>
      <c r="C121" s="16">
        <v>52</v>
      </c>
      <c r="D121" s="1">
        <v>117</v>
      </c>
      <c r="E121" s="15">
        <f t="shared" si="1"/>
        <v>0.44444444444444442</v>
      </c>
    </row>
    <row r="122" spans="1:5" x14ac:dyDescent="0.25">
      <c r="A122" s="2" t="s">
        <v>61</v>
      </c>
      <c r="B122" s="12">
        <v>2021</v>
      </c>
      <c r="C122" s="16">
        <v>63</v>
      </c>
      <c r="D122" s="1">
        <v>117</v>
      </c>
      <c r="E122" s="15">
        <f t="shared" si="1"/>
        <v>0.53846153846153844</v>
      </c>
    </row>
    <row r="123" spans="1:5" x14ac:dyDescent="0.25">
      <c r="A123" s="2"/>
      <c r="B123" s="12">
        <v>2022</v>
      </c>
      <c r="C123" s="16">
        <v>63</v>
      </c>
      <c r="D123" s="1">
        <v>117</v>
      </c>
      <c r="E123" s="15">
        <f t="shared" si="1"/>
        <v>0.53846153846153844</v>
      </c>
    </row>
    <row r="124" spans="1:5" x14ac:dyDescent="0.25">
      <c r="A124" s="2"/>
      <c r="B124" s="12">
        <v>2023</v>
      </c>
      <c r="C124" s="16">
        <v>63</v>
      </c>
      <c r="D124" s="1">
        <v>117</v>
      </c>
      <c r="E124" s="15">
        <f t="shared" si="1"/>
        <v>0.53846153846153844</v>
      </c>
    </row>
    <row r="125" spans="1:5" x14ac:dyDescent="0.25">
      <c r="A125" s="2" t="s">
        <v>62</v>
      </c>
      <c r="B125" s="12">
        <v>2021</v>
      </c>
      <c r="C125" s="16">
        <v>71</v>
      </c>
      <c r="D125" s="1">
        <v>117</v>
      </c>
      <c r="E125" s="15">
        <f t="shared" si="1"/>
        <v>0.60683760683760679</v>
      </c>
    </row>
    <row r="126" spans="1:5" x14ac:dyDescent="0.25">
      <c r="A126" s="2"/>
      <c r="B126" s="12">
        <v>2022</v>
      </c>
      <c r="C126" s="16">
        <v>71</v>
      </c>
      <c r="D126" s="1">
        <v>117</v>
      </c>
      <c r="E126" s="15">
        <f t="shared" si="1"/>
        <v>0.60683760683760679</v>
      </c>
    </row>
    <row r="127" spans="1:5" x14ac:dyDescent="0.25">
      <c r="A127" s="2"/>
      <c r="B127" s="12">
        <v>2023</v>
      </c>
      <c r="C127" s="16">
        <v>71</v>
      </c>
      <c r="D127" s="1">
        <v>117</v>
      </c>
      <c r="E127" s="15">
        <f t="shared" si="1"/>
        <v>0.60683760683760679</v>
      </c>
    </row>
    <row r="128" spans="1:5" x14ac:dyDescent="0.25">
      <c r="A128" s="2" t="s">
        <v>63</v>
      </c>
      <c r="B128" s="12">
        <v>2021</v>
      </c>
      <c r="C128" s="16">
        <v>74</v>
      </c>
      <c r="D128" s="1">
        <v>117</v>
      </c>
      <c r="E128" s="15">
        <f t="shared" ref="E128:E184" si="2">C128/D128</f>
        <v>0.63247863247863245</v>
      </c>
    </row>
    <row r="129" spans="1:5" x14ac:dyDescent="0.25">
      <c r="A129" s="2"/>
      <c r="B129" s="12">
        <v>2022</v>
      </c>
      <c r="C129" s="16">
        <v>74</v>
      </c>
      <c r="D129" s="1">
        <v>117</v>
      </c>
      <c r="E129" s="15">
        <f t="shared" si="2"/>
        <v>0.63247863247863245</v>
      </c>
    </row>
    <row r="130" spans="1:5" x14ac:dyDescent="0.25">
      <c r="A130" s="2"/>
      <c r="B130" s="12">
        <v>2023</v>
      </c>
      <c r="C130" s="16">
        <v>74</v>
      </c>
      <c r="D130" s="1">
        <v>117</v>
      </c>
      <c r="E130" s="15">
        <f t="shared" si="2"/>
        <v>0.63247863247863245</v>
      </c>
    </row>
    <row r="131" spans="1:5" x14ac:dyDescent="0.25">
      <c r="A131" s="2" t="s">
        <v>64</v>
      </c>
      <c r="B131" s="12">
        <v>2021</v>
      </c>
      <c r="C131" s="16">
        <v>39</v>
      </c>
      <c r="D131" s="1">
        <v>117</v>
      </c>
      <c r="E131" s="15">
        <f t="shared" si="2"/>
        <v>0.33333333333333331</v>
      </c>
    </row>
    <row r="132" spans="1:5" x14ac:dyDescent="0.25">
      <c r="A132" s="2"/>
      <c r="B132" s="12">
        <v>2022</v>
      </c>
      <c r="C132" s="16">
        <v>39</v>
      </c>
      <c r="D132" s="1">
        <v>117</v>
      </c>
      <c r="E132" s="15">
        <f t="shared" si="2"/>
        <v>0.33333333333333331</v>
      </c>
    </row>
    <row r="133" spans="1:5" x14ac:dyDescent="0.25">
      <c r="A133" s="2"/>
      <c r="B133" s="12">
        <v>2023</v>
      </c>
      <c r="C133" s="16">
        <v>39</v>
      </c>
      <c r="D133" s="1">
        <v>117</v>
      </c>
      <c r="E133" s="15">
        <f t="shared" si="2"/>
        <v>0.33333333333333331</v>
      </c>
    </row>
    <row r="134" spans="1:5" x14ac:dyDescent="0.25">
      <c r="A134" s="2" t="s">
        <v>65</v>
      </c>
      <c r="B134" s="12">
        <v>2021</v>
      </c>
      <c r="C134" s="16">
        <v>55</v>
      </c>
      <c r="D134" s="1">
        <v>117</v>
      </c>
      <c r="E134" s="15">
        <f t="shared" si="2"/>
        <v>0.47008547008547008</v>
      </c>
    </row>
    <row r="135" spans="1:5" x14ac:dyDescent="0.25">
      <c r="A135" s="2"/>
      <c r="B135" s="12">
        <v>2022</v>
      </c>
      <c r="C135" s="16">
        <v>55</v>
      </c>
      <c r="D135" s="1">
        <v>117</v>
      </c>
      <c r="E135" s="15">
        <f t="shared" si="2"/>
        <v>0.47008547008547008</v>
      </c>
    </row>
    <row r="136" spans="1:5" x14ac:dyDescent="0.25">
      <c r="A136" s="2"/>
      <c r="B136" s="12">
        <v>2023</v>
      </c>
      <c r="C136" s="16">
        <v>55</v>
      </c>
      <c r="D136" s="1">
        <v>117</v>
      </c>
      <c r="E136" s="15">
        <f t="shared" si="2"/>
        <v>0.47008547008547008</v>
      </c>
    </row>
    <row r="137" spans="1:5" x14ac:dyDescent="0.25">
      <c r="A137" s="2" t="s">
        <v>66</v>
      </c>
      <c r="B137" s="12">
        <v>2021</v>
      </c>
      <c r="C137" s="16">
        <v>65</v>
      </c>
      <c r="D137" s="1">
        <v>117</v>
      </c>
      <c r="E137" s="15">
        <f t="shared" si="2"/>
        <v>0.55555555555555558</v>
      </c>
    </row>
    <row r="138" spans="1:5" x14ac:dyDescent="0.25">
      <c r="A138" s="2"/>
      <c r="B138" s="12">
        <v>2022</v>
      </c>
      <c r="C138" s="16">
        <v>65</v>
      </c>
      <c r="D138" s="1">
        <v>117</v>
      </c>
      <c r="E138" s="15">
        <f t="shared" si="2"/>
        <v>0.55555555555555558</v>
      </c>
    </row>
    <row r="139" spans="1:5" x14ac:dyDescent="0.25">
      <c r="A139" s="2"/>
      <c r="B139" s="12">
        <v>2023</v>
      </c>
      <c r="C139" s="16">
        <v>65</v>
      </c>
      <c r="D139" s="1">
        <v>117</v>
      </c>
      <c r="E139" s="15">
        <f t="shared" si="2"/>
        <v>0.55555555555555558</v>
      </c>
    </row>
    <row r="140" spans="1:5" x14ac:dyDescent="0.25">
      <c r="A140" s="2" t="s">
        <v>67</v>
      </c>
      <c r="B140" s="12">
        <v>2021</v>
      </c>
      <c r="C140" s="16">
        <v>108</v>
      </c>
      <c r="D140" s="1">
        <v>117</v>
      </c>
      <c r="E140" s="15">
        <f t="shared" si="2"/>
        <v>0.92307692307692313</v>
      </c>
    </row>
    <row r="141" spans="1:5" x14ac:dyDescent="0.25">
      <c r="A141" s="2"/>
      <c r="B141" s="12">
        <v>2022</v>
      </c>
      <c r="C141" s="16">
        <v>108</v>
      </c>
      <c r="D141" s="1">
        <v>117</v>
      </c>
      <c r="E141" s="15">
        <f t="shared" si="2"/>
        <v>0.92307692307692313</v>
      </c>
    </row>
    <row r="142" spans="1:5" x14ac:dyDescent="0.25">
      <c r="A142" s="2"/>
      <c r="B142" s="12">
        <v>2023</v>
      </c>
      <c r="C142" s="16">
        <v>108</v>
      </c>
      <c r="D142" s="1">
        <v>117</v>
      </c>
      <c r="E142" s="15">
        <f t="shared" si="2"/>
        <v>0.92307692307692313</v>
      </c>
    </row>
    <row r="143" spans="1:5" x14ac:dyDescent="0.25">
      <c r="A143" s="2" t="s">
        <v>68</v>
      </c>
      <c r="B143" s="12">
        <v>2021</v>
      </c>
      <c r="C143" s="16">
        <v>93</v>
      </c>
      <c r="D143" s="1">
        <v>117</v>
      </c>
      <c r="E143" s="15">
        <f t="shared" si="2"/>
        <v>0.79487179487179482</v>
      </c>
    </row>
    <row r="144" spans="1:5" x14ac:dyDescent="0.25">
      <c r="A144" s="2"/>
      <c r="B144" s="12">
        <v>2022</v>
      </c>
      <c r="C144" s="16">
        <v>93</v>
      </c>
      <c r="D144" s="1">
        <v>117</v>
      </c>
      <c r="E144" s="15">
        <f t="shared" si="2"/>
        <v>0.79487179487179482</v>
      </c>
    </row>
    <row r="145" spans="1:5" x14ac:dyDescent="0.25">
      <c r="A145" s="2"/>
      <c r="B145" s="12">
        <v>2023</v>
      </c>
      <c r="C145" s="16">
        <v>93</v>
      </c>
      <c r="D145" s="1">
        <v>117</v>
      </c>
      <c r="E145" s="15">
        <f t="shared" si="2"/>
        <v>0.79487179487179482</v>
      </c>
    </row>
    <row r="146" spans="1:5" x14ac:dyDescent="0.25">
      <c r="A146" s="2" t="s">
        <v>69</v>
      </c>
      <c r="B146" s="12">
        <v>2021</v>
      </c>
      <c r="C146" s="16">
        <v>91</v>
      </c>
      <c r="D146" s="1">
        <v>117</v>
      </c>
      <c r="E146" s="15">
        <f t="shared" si="2"/>
        <v>0.77777777777777779</v>
      </c>
    </row>
    <row r="147" spans="1:5" x14ac:dyDescent="0.25">
      <c r="A147" s="2"/>
      <c r="B147" s="12">
        <v>2022</v>
      </c>
      <c r="C147" s="16">
        <v>91</v>
      </c>
      <c r="D147" s="1">
        <v>117</v>
      </c>
      <c r="E147" s="15">
        <f t="shared" si="2"/>
        <v>0.77777777777777779</v>
      </c>
    </row>
    <row r="148" spans="1:5" x14ac:dyDescent="0.25">
      <c r="A148" s="2"/>
      <c r="B148" s="12">
        <v>2023</v>
      </c>
      <c r="C148" s="16">
        <v>91</v>
      </c>
      <c r="D148" s="1">
        <v>117</v>
      </c>
      <c r="E148" s="15">
        <f t="shared" si="2"/>
        <v>0.77777777777777779</v>
      </c>
    </row>
    <row r="149" spans="1:5" x14ac:dyDescent="0.25">
      <c r="A149" s="2" t="s">
        <v>70</v>
      </c>
      <c r="B149" s="12">
        <v>2021</v>
      </c>
      <c r="C149" s="16">
        <v>72</v>
      </c>
      <c r="D149" s="1">
        <v>117</v>
      </c>
      <c r="E149" s="15">
        <f t="shared" si="2"/>
        <v>0.61538461538461542</v>
      </c>
    </row>
    <row r="150" spans="1:5" x14ac:dyDescent="0.25">
      <c r="A150" s="2"/>
      <c r="B150" s="12">
        <v>2022</v>
      </c>
      <c r="C150" s="16">
        <v>72</v>
      </c>
      <c r="D150" s="1">
        <v>117</v>
      </c>
      <c r="E150" s="15">
        <f t="shared" si="2"/>
        <v>0.61538461538461542</v>
      </c>
    </row>
    <row r="151" spans="1:5" x14ac:dyDescent="0.25">
      <c r="A151" s="2"/>
      <c r="B151" s="12">
        <v>2023</v>
      </c>
      <c r="C151" s="16">
        <v>72</v>
      </c>
      <c r="D151" s="1">
        <v>117</v>
      </c>
      <c r="E151" s="15">
        <f t="shared" si="2"/>
        <v>0.61538461538461542</v>
      </c>
    </row>
    <row r="152" spans="1:5" x14ac:dyDescent="0.25">
      <c r="A152" s="2" t="s">
        <v>71</v>
      </c>
      <c r="B152" s="12">
        <v>2021</v>
      </c>
      <c r="C152" s="16">
        <v>76</v>
      </c>
      <c r="D152" s="1">
        <v>117</v>
      </c>
      <c r="E152" s="15">
        <f t="shared" si="2"/>
        <v>0.6495726495726496</v>
      </c>
    </row>
    <row r="153" spans="1:5" x14ac:dyDescent="0.25">
      <c r="A153" s="2"/>
      <c r="B153" s="12">
        <v>2022</v>
      </c>
      <c r="C153" s="16">
        <v>76</v>
      </c>
      <c r="D153" s="1">
        <v>117</v>
      </c>
      <c r="E153" s="15">
        <f t="shared" si="2"/>
        <v>0.6495726495726496</v>
      </c>
    </row>
    <row r="154" spans="1:5" x14ac:dyDescent="0.25">
      <c r="A154" s="2"/>
      <c r="B154" s="12">
        <v>2023</v>
      </c>
      <c r="C154" s="16">
        <v>76</v>
      </c>
      <c r="D154" s="1">
        <v>117</v>
      </c>
      <c r="E154" s="15">
        <f t="shared" si="2"/>
        <v>0.6495726495726496</v>
      </c>
    </row>
    <row r="155" spans="1:5" x14ac:dyDescent="0.25">
      <c r="A155" s="1" t="s">
        <v>28</v>
      </c>
      <c r="B155" s="12">
        <v>2021</v>
      </c>
      <c r="C155" s="16">
        <v>78</v>
      </c>
      <c r="D155" s="1">
        <v>117</v>
      </c>
      <c r="E155" s="15">
        <f t="shared" si="2"/>
        <v>0.66666666666666663</v>
      </c>
    </row>
    <row r="156" spans="1:5" x14ac:dyDescent="0.25">
      <c r="A156" s="1"/>
      <c r="B156" s="12">
        <v>2022</v>
      </c>
      <c r="C156" s="16">
        <v>78</v>
      </c>
      <c r="D156" s="1">
        <v>117</v>
      </c>
      <c r="E156" s="15">
        <f t="shared" si="2"/>
        <v>0.66666666666666663</v>
      </c>
    </row>
    <row r="157" spans="1:5" x14ac:dyDescent="0.25">
      <c r="A157" s="1"/>
      <c r="B157" s="12">
        <v>2023</v>
      </c>
      <c r="C157" s="16">
        <v>78</v>
      </c>
      <c r="D157" s="1">
        <v>117</v>
      </c>
      <c r="E157" s="15">
        <f t="shared" si="2"/>
        <v>0.66666666666666663</v>
      </c>
    </row>
    <row r="158" spans="1:5" x14ac:dyDescent="0.25">
      <c r="A158" s="1" t="s">
        <v>29</v>
      </c>
      <c r="B158" s="12">
        <v>2021</v>
      </c>
      <c r="C158" s="16">
        <v>102</v>
      </c>
      <c r="D158" s="1">
        <v>117</v>
      </c>
      <c r="E158" s="15">
        <f t="shared" si="2"/>
        <v>0.87179487179487181</v>
      </c>
    </row>
    <row r="159" spans="1:5" x14ac:dyDescent="0.25">
      <c r="A159" s="1"/>
      <c r="B159" s="12">
        <v>2022</v>
      </c>
      <c r="C159" s="16">
        <v>102</v>
      </c>
      <c r="D159" s="1">
        <v>117</v>
      </c>
      <c r="E159" s="15">
        <f t="shared" si="2"/>
        <v>0.87179487179487181</v>
      </c>
    </row>
    <row r="160" spans="1:5" x14ac:dyDescent="0.25">
      <c r="A160" s="1"/>
      <c r="B160" s="12">
        <v>2023</v>
      </c>
      <c r="C160" s="16">
        <v>102</v>
      </c>
      <c r="D160" s="1">
        <v>117</v>
      </c>
      <c r="E160" s="15">
        <f t="shared" si="2"/>
        <v>0.87179487179487181</v>
      </c>
    </row>
    <row r="161" spans="1:5" x14ac:dyDescent="0.25">
      <c r="A161" s="1" t="s">
        <v>30</v>
      </c>
      <c r="B161" s="12">
        <v>2021</v>
      </c>
      <c r="C161" s="16">
        <v>85</v>
      </c>
      <c r="D161" s="1">
        <v>117</v>
      </c>
      <c r="E161" s="15">
        <f t="shared" si="2"/>
        <v>0.72649572649572647</v>
      </c>
    </row>
    <row r="162" spans="1:5" x14ac:dyDescent="0.25">
      <c r="A162" s="1"/>
      <c r="B162" s="12">
        <v>2022</v>
      </c>
      <c r="C162" s="16">
        <v>85</v>
      </c>
      <c r="D162" s="1">
        <v>117</v>
      </c>
      <c r="E162" s="15">
        <f t="shared" si="2"/>
        <v>0.72649572649572647</v>
      </c>
    </row>
    <row r="163" spans="1:5" x14ac:dyDescent="0.25">
      <c r="A163" s="1"/>
      <c r="B163" s="12">
        <v>2023</v>
      </c>
      <c r="C163" s="16">
        <v>85</v>
      </c>
      <c r="D163" s="1">
        <v>117</v>
      </c>
      <c r="E163" s="15">
        <f t="shared" si="2"/>
        <v>0.72649572649572647</v>
      </c>
    </row>
    <row r="164" spans="1:5" x14ac:dyDescent="0.25">
      <c r="A164" s="1" t="s">
        <v>31</v>
      </c>
      <c r="B164" s="12">
        <v>2021</v>
      </c>
      <c r="C164" s="16">
        <v>55</v>
      </c>
      <c r="D164" s="1">
        <v>117</v>
      </c>
      <c r="E164" s="15">
        <f t="shared" si="2"/>
        <v>0.47008547008547008</v>
      </c>
    </row>
    <row r="165" spans="1:5" x14ac:dyDescent="0.25">
      <c r="A165" s="1"/>
      <c r="B165" s="12">
        <v>2022</v>
      </c>
      <c r="C165" s="16">
        <v>55</v>
      </c>
      <c r="D165" s="1">
        <v>117</v>
      </c>
      <c r="E165" s="15">
        <f t="shared" si="2"/>
        <v>0.47008547008547008</v>
      </c>
    </row>
    <row r="166" spans="1:5" x14ac:dyDescent="0.25">
      <c r="A166" s="1"/>
      <c r="B166" s="12">
        <v>2023</v>
      </c>
      <c r="C166" s="16">
        <v>55</v>
      </c>
      <c r="D166" s="1">
        <v>117</v>
      </c>
      <c r="E166" s="15">
        <f t="shared" si="2"/>
        <v>0.47008547008547008</v>
      </c>
    </row>
    <row r="167" spans="1:5" x14ac:dyDescent="0.25">
      <c r="A167" s="1" t="s">
        <v>32</v>
      </c>
      <c r="B167" s="12">
        <v>2021</v>
      </c>
      <c r="C167" s="16">
        <v>58</v>
      </c>
      <c r="D167" s="1">
        <v>117</v>
      </c>
      <c r="E167" s="15">
        <f t="shared" si="2"/>
        <v>0.49572649572649574</v>
      </c>
    </row>
    <row r="168" spans="1:5" x14ac:dyDescent="0.25">
      <c r="A168" s="1"/>
      <c r="B168" s="12">
        <v>2022</v>
      </c>
      <c r="C168" s="16">
        <v>58</v>
      </c>
      <c r="D168" s="1">
        <v>117</v>
      </c>
      <c r="E168" s="15">
        <f t="shared" si="2"/>
        <v>0.49572649572649574</v>
      </c>
    </row>
    <row r="169" spans="1:5" x14ac:dyDescent="0.25">
      <c r="A169" s="1"/>
      <c r="B169" s="12">
        <v>2023</v>
      </c>
      <c r="C169" s="16">
        <v>58</v>
      </c>
      <c r="D169" s="1">
        <v>117</v>
      </c>
      <c r="E169" s="15">
        <f t="shared" si="2"/>
        <v>0.49572649572649574</v>
      </c>
    </row>
    <row r="170" spans="1:5" x14ac:dyDescent="0.25">
      <c r="A170" s="1" t="s">
        <v>33</v>
      </c>
      <c r="B170" s="12">
        <v>2021</v>
      </c>
      <c r="C170" s="16">
        <v>69</v>
      </c>
      <c r="D170" s="1">
        <v>117</v>
      </c>
      <c r="E170" s="15">
        <f t="shared" si="2"/>
        <v>0.58974358974358976</v>
      </c>
    </row>
    <row r="171" spans="1:5" x14ac:dyDescent="0.25">
      <c r="A171" s="1"/>
      <c r="B171" s="12">
        <v>2022</v>
      </c>
      <c r="C171" s="16">
        <v>69</v>
      </c>
      <c r="D171" s="1">
        <v>117</v>
      </c>
      <c r="E171" s="15">
        <f t="shared" si="2"/>
        <v>0.58974358974358976</v>
      </c>
    </row>
    <row r="172" spans="1:5" x14ac:dyDescent="0.25">
      <c r="A172" s="1"/>
      <c r="B172" s="12">
        <v>2023</v>
      </c>
      <c r="C172" s="16">
        <v>69</v>
      </c>
      <c r="D172" s="1">
        <v>117</v>
      </c>
      <c r="E172" s="15">
        <f t="shared" si="2"/>
        <v>0.58974358974358976</v>
      </c>
    </row>
    <row r="173" spans="1:5" x14ac:dyDescent="0.25">
      <c r="A173" s="1" t="s">
        <v>34</v>
      </c>
      <c r="B173" s="12">
        <v>2021</v>
      </c>
      <c r="C173" s="16">
        <v>57</v>
      </c>
      <c r="D173" s="1">
        <v>117</v>
      </c>
      <c r="E173" s="15">
        <f t="shared" si="2"/>
        <v>0.48717948717948717</v>
      </c>
    </row>
    <row r="174" spans="1:5" x14ac:dyDescent="0.25">
      <c r="A174" s="1"/>
      <c r="B174" s="12">
        <v>2022</v>
      </c>
      <c r="C174" s="16">
        <v>57</v>
      </c>
      <c r="D174" s="1">
        <v>117</v>
      </c>
      <c r="E174" s="15">
        <f t="shared" si="2"/>
        <v>0.48717948717948717</v>
      </c>
    </row>
    <row r="175" spans="1:5" x14ac:dyDescent="0.25">
      <c r="A175" s="1"/>
      <c r="B175" s="12">
        <v>2023</v>
      </c>
      <c r="C175" s="16">
        <v>57</v>
      </c>
      <c r="D175" s="1">
        <v>117</v>
      </c>
      <c r="E175" s="15">
        <f t="shared" si="2"/>
        <v>0.48717948717948717</v>
      </c>
    </row>
    <row r="176" spans="1:5" x14ac:dyDescent="0.25">
      <c r="A176" s="1" t="s">
        <v>35</v>
      </c>
      <c r="B176" s="12">
        <v>2021</v>
      </c>
      <c r="C176" s="16">
        <v>50</v>
      </c>
      <c r="D176" s="1">
        <v>117</v>
      </c>
      <c r="E176" s="15">
        <f t="shared" si="2"/>
        <v>0.42735042735042733</v>
      </c>
    </row>
    <row r="177" spans="1:5" x14ac:dyDescent="0.25">
      <c r="A177" s="1"/>
      <c r="B177" s="12">
        <v>2022</v>
      </c>
      <c r="C177" s="16">
        <v>50</v>
      </c>
      <c r="D177" s="1">
        <v>117</v>
      </c>
      <c r="E177" s="15">
        <f t="shared" si="2"/>
        <v>0.42735042735042733</v>
      </c>
    </row>
    <row r="178" spans="1:5" x14ac:dyDescent="0.25">
      <c r="A178" s="1"/>
      <c r="B178" s="12">
        <v>2023</v>
      </c>
      <c r="C178" s="16">
        <v>50</v>
      </c>
      <c r="D178" s="1">
        <v>117</v>
      </c>
      <c r="E178" s="15">
        <f t="shared" si="2"/>
        <v>0.42735042735042733</v>
      </c>
    </row>
    <row r="179" spans="1:5" x14ac:dyDescent="0.25">
      <c r="A179" s="1" t="s">
        <v>36</v>
      </c>
      <c r="B179" s="12">
        <v>2021</v>
      </c>
      <c r="C179" s="16">
        <v>54</v>
      </c>
      <c r="D179" s="1">
        <v>117</v>
      </c>
      <c r="E179" s="15">
        <f t="shared" si="2"/>
        <v>0.46153846153846156</v>
      </c>
    </row>
    <row r="180" spans="1:5" x14ac:dyDescent="0.25">
      <c r="A180" s="1"/>
      <c r="B180" s="12">
        <v>2022</v>
      </c>
      <c r="C180" s="16">
        <v>54</v>
      </c>
      <c r="D180" s="1">
        <v>117</v>
      </c>
      <c r="E180" s="15">
        <f t="shared" si="2"/>
        <v>0.46153846153846156</v>
      </c>
    </row>
    <row r="181" spans="1:5" x14ac:dyDescent="0.25">
      <c r="A181" s="1"/>
      <c r="B181" s="12">
        <v>2023</v>
      </c>
      <c r="C181" s="16">
        <v>54</v>
      </c>
      <c r="D181" s="1">
        <v>117</v>
      </c>
      <c r="E181" s="15">
        <f t="shared" si="2"/>
        <v>0.46153846153846156</v>
      </c>
    </row>
    <row r="182" spans="1:5" x14ac:dyDescent="0.25">
      <c r="A182" s="1" t="s">
        <v>37</v>
      </c>
      <c r="B182" s="12">
        <v>2021</v>
      </c>
      <c r="C182" s="16">
        <v>61</v>
      </c>
      <c r="D182" s="1">
        <v>117</v>
      </c>
      <c r="E182" s="15">
        <f t="shared" si="2"/>
        <v>0.5213675213675214</v>
      </c>
    </row>
    <row r="183" spans="1:5" x14ac:dyDescent="0.25">
      <c r="A183" s="1"/>
      <c r="B183" s="12">
        <v>2022</v>
      </c>
      <c r="C183" s="16">
        <v>61</v>
      </c>
      <c r="D183" s="1">
        <v>117</v>
      </c>
      <c r="E183" s="15">
        <f t="shared" si="2"/>
        <v>0.5213675213675214</v>
      </c>
    </row>
    <row r="184" spans="1:5" x14ac:dyDescent="0.25">
      <c r="A184" s="1"/>
      <c r="B184" s="12">
        <v>2023</v>
      </c>
      <c r="C184" s="16">
        <v>61</v>
      </c>
      <c r="D184" s="1">
        <v>117</v>
      </c>
      <c r="E184" s="15">
        <f t="shared" si="2"/>
        <v>0.5213675213675214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TABULASI </vt:lpstr>
      <vt:lpstr>OLAH DATA SPSS</vt:lpstr>
      <vt:lpstr>green accounting (X1)</vt:lpstr>
      <vt:lpstr>GCG (X2)</vt:lpstr>
      <vt:lpstr>Manaj Laba (X3)</vt:lpstr>
      <vt:lpstr>kinerja keuangan (Y)</vt:lpstr>
      <vt:lpstr>CSR (Z)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Nanda Silvia</dc:creator>
  <cp:lastModifiedBy>Nanda Silvia</cp:lastModifiedBy>
  <dcterms:created xsi:type="dcterms:W3CDTF">2024-12-29T06:05:26Z</dcterms:created>
  <dcterms:modified xsi:type="dcterms:W3CDTF">2025-03-03T05:26:57Z</dcterms:modified>
</cp:coreProperties>
</file>